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5 Sale commission\03 ตั้งเบิก Sales Commission\รอบ 02-2568\"/>
    </mc:Choice>
  </mc:AlternateContent>
  <xr:revisionPtr revIDLastSave="0" documentId="13_ncr:1_{AEAA4F4C-7D23-423D-B905-8EC8D3CE0E51}" xr6:coauthVersionLast="47" xr6:coauthVersionMax="47" xr10:uidLastSave="{00000000-0000-0000-0000-000000000000}"/>
  <bookViews>
    <workbookView xWindow="-108" yWindow="-108" windowWidth="23256" windowHeight="12456" activeTab="2" xr2:uid="{195A0F0A-E35C-4AD4-8EE8-0CFEA0DC919D}"/>
  </bookViews>
  <sheets>
    <sheet name="Ref" sheetId="6" r:id="rId1"/>
    <sheet name="ตั้งเบิกคอมฯ  CN" sheetId="1" r:id="rId2"/>
    <sheet name="สรุปยอดเบิก CN" sheetId="5" r:id="rId3"/>
    <sheet name="คอมฯ CBN" sheetId="2" state="hidden" r:id="rId4"/>
    <sheet name="สรุปยอดเบิก CBN" sheetId="3" state="hidden" r:id="rId5"/>
  </sheets>
  <definedNames>
    <definedName name="_xlnm._FilterDatabase" localSheetId="3" hidden="1">'คอมฯ CBN'!#REF!</definedName>
    <definedName name="_xlnm._FilterDatabase" localSheetId="1" hidden="1">'ตั้งเบิกคอมฯ  CN'!#REF!</definedName>
    <definedName name="_xlnm.Print_Area" localSheetId="3">'คอมฯ CBN'!$A$1:$U$30</definedName>
    <definedName name="_xlnm.Print_Area" localSheetId="1">'ตั้งเบิกคอมฯ  CN'!$A$1:$AM$70</definedName>
    <definedName name="_xlnm.Print_Area" localSheetId="4">'สรุปยอดเบิก CBN'!$A$1:$M$58</definedName>
    <definedName name="_xlnm.Print_Area" localSheetId="2">'สรุปยอดเบิก CN'!$A$1:$L$63</definedName>
    <definedName name="_xlnm.Print_Titles" localSheetId="3">'คอมฯ CBN'!$5:$5</definedName>
    <definedName name="_xlnm.Print_Titles" localSheetId="1">'ตั้งเบิกคอมฯ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5" l="1"/>
  <c r="G8" i="5"/>
  <c r="G5" i="5"/>
  <c r="O27" i="1" l="1"/>
  <c r="AB43" i="1"/>
  <c r="Y43" i="1"/>
  <c r="AB23" i="1"/>
  <c r="Y23" i="1"/>
  <c r="X24" i="1"/>
  <c r="X44" i="1" l="1"/>
  <c r="Y44" i="1" s="1"/>
  <c r="AA43" i="1" s="1"/>
  <c r="AG43" i="1"/>
  <c r="AH43" i="1" s="1"/>
  <c r="AI43" i="1" s="1"/>
  <c r="X43" i="1"/>
  <c r="Y45" i="1" s="1"/>
  <c r="M43" i="1"/>
  <c r="N43" i="1" s="1"/>
  <c r="O43" i="1" s="1"/>
  <c r="Q43" i="1" s="1"/>
  <c r="AG39" i="1"/>
  <c r="AH39" i="1" s="1"/>
  <c r="AI39" i="1" s="1"/>
  <c r="X39" i="1"/>
  <c r="Y39" i="1" s="1"/>
  <c r="AA39" i="1" s="1"/>
  <c r="M39" i="1"/>
  <c r="N39" i="1" s="1"/>
  <c r="Q39" i="1" l="1"/>
  <c r="O39" i="1"/>
  <c r="AC43" i="1"/>
  <c r="AA44" i="1"/>
  <c r="AC39" i="1"/>
  <c r="AB39" i="1"/>
  <c r="AD39" i="1" s="1"/>
  <c r="AJ39" i="1" s="1"/>
  <c r="AA40" i="1"/>
  <c r="P19" i="1"/>
  <c r="AG19" i="1"/>
  <c r="AH19" i="1" s="1"/>
  <c r="AI19" i="1" s="1"/>
  <c r="X19" i="1"/>
  <c r="Y19" i="1" s="1"/>
  <c r="AA19" i="1" s="1"/>
  <c r="M19" i="1"/>
  <c r="N19" i="1" s="1"/>
  <c r="O19" i="1" s="1"/>
  <c r="P27" i="1"/>
  <c r="P23" i="1"/>
  <c r="AG27" i="1"/>
  <c r="AH27" i="1" s="1"/>
  <c r="AI27" i="1" s="1"/>
  <c r="X27" i="1"/>
  <c r="Y27" i="1" s="1"/>
  <c r="AA27" i="1" s="1"/>
  <c r="M27" i="1"/>
  <c r="N27" i="1" s="1"/>
  <c r="AG23" i="1"/>
  <c r="AH23" i="1" s="1"/>
  <c r="AI23" i="1" s="1"/>
  <c r="X23" i="1"/>
  <c r="M23" i="1"/>
  <c r="N23" i="1" s="1"/>
  <c r="O23" i="1" s="1"/>
  <c r="Q23" i="1" s="1"/>
  <c r="P15" i="1"/>
  <c r="P11" i="1"/>
  <c r="P7" i="1"/>
  <c r="Q27" i="1" l="1"/>
  <c r="Q19" i="1"/>
  <c r="AD43" i="1"/>
  <c r="AJ43" i="1" s="1"/>
  <c r="AC19" i="1"/>
  <c r="AB19" i="1"/>
  <c r="AA20" i="1"/>
  <c r="AA23" i="1"/>
  <c r="AA24" i="1" s="1"/>
  <c r="AA28" i="1"/>
  <c r="AB27" i="1"/>
  <c r="AC27" i="1"/>
  <c r="AD19" i="1" l="1"/>
  <c r="AJ19" i="1" s="1"/>
  <c r="AJ67" i="1" s="1"/>
  <c r="AC23" i="1"/>
  <c r="AD27" i="1"/>
  <c r="AJ27" i="1" s="1"/>
  <c r="AD23" i="1" l="1"/>
  <c r="AJ23" i="1" s="1"/>
  <c r="AG15" i="1" l="1"/>
  <c r="AH15" i="1" s="1"/>
  <c r="AI15" i="1" s="1"/>
  <c r="X15" i="1"/>
  <c r="Y15" i="1" s="1"/>
  <c r="AA15" i="1" s="1"/>
  <c r="M15" i="1"/>
  <c r="N15" i="1" s="1"/>
  <c r="O15" i="1" s="1"/>
  <c r="Q15" i="1" s="1"/>
  <c r="Z11" i="1"/>
  <c r="AG11" i="1"/>
  <c r="AH11" i="1" s="1"/>
  <c r="AI11" i="1" s="1"/>
  <c r="X11" i="1"/>
  <c r="Y11" i="1" s="1"/>
  <c r="M11" i="1"/>
  <c r="N11" i="1" s="1"/>
  <c r="O11" i="1" s="1"/>
  <c r="Q11" i="1" s="1"/>
  <c r="AG31" i="1"/>
  <c r="AH31" i="1" s="1"/>
  <c r="AI31" i="1" s="1"/>
  <c r="X31" i="1"/>
  <c r="Y31" i="1" s="1"/>
  <c r="AA31" i="1" s="1"/>
  <c r="M31" i="1"/>
  <c r="N31" i="1" s="1"/>
  <c r="O31" i="1" s="1"/>
  <c r="Q31" i="1" s="1"/>
  <c r="AG35" i="1"/>
  <c r="AH35" i="1" s="1"/>
  <c r="AG47" i="1"/>
  <c r="AH47" i="1" s="1"/>
  <c r="AG51" i="1"/>
  <c r="AH51" i="1" s="1"/>
  <c r="AG55" i="1"/>
  <c r="AH55" i="1" s="1"/>
  <c r="AG59" i="1"/>
  <c r="AH59" i="1" s="1"/>
  <c r="AG63" i="1"/>
  <c r="AH63" i="1" s="1"/>
  <c r="AG7" i="1"/>
  <c r="AH7" i="1" s="1"/>
  <c r="AI7" i="1" s="1"/>
  <c r="X7" i="1"/>
  <c r="Y7" i="1" s="1"/>
  <c r="X35" i="1"/>
  <c r="Y35" i="1" s="1"/>
  <c r="AA35" i="1" s="1"/>
  <c r="AB35" i="1" s="1"/>
  <c r="X47" i="1"/>
  <c r="Y47" i="1" s="1"/>
  <c r="X51" i="1"/>
  <c r="Y51" i="1" s="1"/>
  <c r="X55" i="1"/>
  <c r="Y55" i="1" s="1"/>
  <c r="X59" i="1"/>
  <c r="Y59" i="1" s="1"/>
  <c r="X63" i="1"/>
  <c r="Y63" i="1" s="1"/>
  <c r="P55" i="1"/>
  <c r="M7" i="1"/>
  <c r="N7" i="1" s="1"/>
  <c r="Q7" i="1" l="1"/>
  <c r="O7" i="1"/>
  <c r="Y67" i="1"/>
  <c r="AA11" i="1"/>
  <c r="AA16" i="1"/>
  <c r="AC15" i="1"/>
  <c r="AB15" i="1"/>
  <c r="AA12" i="1"/>
  <c r="AC11" i="1"/>
  <c r="AB11" i="1"/>
  <c r="AA32" i="1"/>
  <c r="AC31" i="1"/>
  <c r="AB31" i="1"/>
  <c r="AC35" i="1"/>
  <c r="AD35" i="1" s="1"/>
  <c r="AD15" i="1" l="1"/>
  <c r="AJ15" i="1" s="1"/>
  <c r="AD31" i="1"/>
  <c r="AJ31" i="1" s="1"/>
  <c r="AD11" i="1"/>
  <c r="AJ11" i="1" s="1"/>
  <c r="S67" i="1"/>
  <c r="T67" i="1"/>
  <c r="U67" i="1"/>
  <c r="N14" i="5"/>
  <c r="M14" i="5"/>
  <c r="M5" i="5"/>
  <c r="AI35" i="1" l="1"/>
  <c r="AI47" i="1"/>
  <c r="AI51" i="1"/>
  <c r="AI55" i="1"/>
  <c r="AI59" i="1"/>
  <c r="AI63" i="1"/>
  <c r="Z67" i="1"/>
  <c r="AA7" i="1"/>
  <c r="AA67" i="1" s="1"/>
  <c r="AA47" i="1"/>
  <c r="AA51" i="1"/>
  <c r="AA55" i="1"/>
  <c r="AA59" i="1"/>
  <c r="AA63" i="1"/>
  <c r="V67" i="1"/>
  <c r="E72" i="1"/>
  <c r="M35" i="1"/>
  <c r="N35" i="1" s="1"/>
  <c r="M47" i="1"/>
  <c r="N47" i="1" s="1"/>
  <c r="O47" i="1" s="1"/>
  <c r="M51" i="1"/>
  <c r="N51" i="1" s="1"/>
  <c r="O51" i="1" s="1"/>
  <c r="M55" i="1"/>
  <c r="N55" i="1" s="1"/>
  <c r="O55" i="1" s="1"/>
  <c r="M59" i="1"/>
  <c r="N59" i="1" s="1"/>
  <c r="O59" i="1" s="1"/>
  <c r="P59" i="1"/>
  <c r="M63" i="1"/>
  <c r="N63" i="1" s="1"/>
  <c r="O63" i="1" s="1"/>
  <c r="P63" i="1"/>
  <c r="O35" i="1" l="1"/>
  <c r="Q35" i="1" s="1"/>
  <c r="AB55" i="1"/>
  <c r="AC55" i="1"/>
  <c r="AB63" i="1"/>
  <c r="AC63" i="1"/>
  <c r="AB51" i="1"/>
  <c r="AC51" i="1"/>
  <c r="AB47" i="1"/>
  <c r="AC47" i="1"/>
  <c r="AC59" i="1"/>
  <c r="AB59" i="1"/>
  <c r="AB7" i="1"/>
  <c r="AC7" i="1"/>
  <c r="R67" i="1"/>
  <c r="AI67" i="1"/>
  <c r="AH67" i="1"/>
  <c r="AA60" i="1"/>
  <c r="AA52" i="1"/>
  <c r="AA36" i="1"/>
  <c r="AA64" i="1"/>
  <c r="AA56" i="1"/>
  <c r="X67" i="1"/>
  <c r="M67" i="1"/>
  <c r="O67" i="1"/>
  <c r="AA8" i="1"/>
  <c r="AA48" i="1"/>
  <c r="N67" i="1"/>
  <c r="Q67" i="1" l="1"/>
  <c r="AJ35" i="1"/>
  <c r="AD51" i="1"/>
  <c r="AJ51" i="1" s="1"/>
  <c r="AD55" i="1"/>
  <c r="AJ55" i="1" s="1"/>
  <c r="AD63" i="1"/>
  <c r="AJ63" i="1" s="1"/>
  <c r="AD7" i="1"/>
  <c r="AD47" i="1"/>
  <c r="AJ47" i="1" s="1"/>
  <c r="AD59" i="1"/>
  <c r="AJ59" i="1" s="1"/>
  <c r="AC67" i="1"/>
  <c r="AJ7" i="1" l="1"/>
  <c r="F19" i="5"/>
  <c r="AB67" i="1"/>
  <c r="N5" i="5" l="1"/>
  <c r="F33" i="5" l="1"/>
  <c r="F32" i="5"/>
  <c r="F30" i="5"/>
  <c r="F26" i="5"/>
  <c r="F23" i="5"/>
  <c r="F22" i="5"/>
  <c r="F20" i="5"/>
  <c r="E20" i="5"/>
  <c r="E19" i="5"/>
  <c r="E18" i="5"/>
  <c r="E17" i="5"/>
  <c r="E16" i="5"/>
  <c r="F16" i="5"/>
  <c r="E33" i="5" l="1"/>
  <c r="E32" i="5"/>
  <c r="E30" i="5"/>
  <c r="E26" i="5"/>
  <c r="H30" i="5"/>
  <c r="H32" i="5"/>
  <c r="H33" i="5"/>
  <c r="E24" i="5"/>
  <c r="E22" i="5"/>
  <c r="E21" i="5"/>
  <c r="E15" i="5"/>
  <c r="E23" i="5"/>
  <c r="H16" i="5"/>
  <c r="H20" i="5"/>
  <c r="H22" i="5"/>
  <c r="H23" i="5"/>
  <c r="G7" i="5"/>
  <c r="G9" i="5"/>
  <c r="G10" i="5"/>
  <c r="H10" i="5" s="1"/>
  <c r="G11" i="5"/>
  <c r="G13" i="5"/>
  <c r="G14" i="5"/>
  <c r="G82" i="5" l="1"/>
  <c r="E46" i="5" s="1"/>
  <c r="G46" i="5" s="1"/>
  <c r="I46" i="5" s="1"/>
  <c r="H8" i="5"/>
  <c r="H12" i="5"/>
  <c r="G84" i="5" s="1"/>
  <c r="E48" i="5" s="1"/>
  <c r="G48" i="5" s="1"/>
  <c r="I48" i="5" s="1"/>
  <c r="H14" i="5"/>
  <c r="H13" i="5"/>
  <c r="G85" i="5" s="1"/>
  <c r="E49" i="5" s="1"/>
  <c r="G49" i="5" s="1"/>
  <c r="I49" i="5" s="1"/>
  <c r="H11" i="5"/>
  <c r="H9" i="5"/>
  <c r="H7" i="5"/>
  <c r="E27" i="5"/>
  <c r="F31" i="5" l="1"/>
  <c r="H31" i="5" s="1"/>
  <c r="E31" i="5"/>
  <c r="F29" i="5"/>
  <c r="H29" i="5" s="1"/>
  <c r="E29" i="5"/>
  <c r="F28" i="5"/>
  <c r="H28" i="5" s="1"/>
  <c r="E28" i="5"/>
  <c r="F34" i="5"/>
  <c r="H34" i="5" s="1"/>
  <c r="E34" i="5"/>
  <c r="F25" i="5"/>
  <c r="E25" i="5"/>
  <c r="F21" i="5" l="1"/>
  <c r="H21" i="5" s="1"/>
  <c r="G83" i="5" s="1"/>
  <c r="E47" i="5" s="1"/>
  <c r="G47" i="5" s="1"/>
  <c r="I47" i="5" s="1"/>
  <c r="F18" i="5"/>
  <c r="H18" i="5" s="1"/>
  <c r="G80" i="5" s="1"/>
  <c r="E44" i="5" s="1"/>
  <c r="G44" i="5" s="1"/>
  <c r="I44" i="5" s="1"/>
  <c r="F17" i="5"/>
  <c r="H17" i="5" s="1"/>
  <c r="G87" i="5"/>
  <c r="G72" i="3"/>
  <c r="E45" i="3" s="1"/>
  <c r="F30" i="3"/>
  <c r="G30" i="3" s="1"/>
  <c r="E30" i="3"/>
  <c r="F22" i="3"/>
  <c r="F20" i="3"/>
  <c r="F21" i="3"/>
  <c r="G21" i="3" s="1"/>
  <c r="E21" i="3"/>
  <c r="F12" i="3"/>
  <c r="E12" i="3"/>
  <c r="F24" i="5" l="1"/>
  <c r="H24" i="5" s="1"/>
  <c r="G86" i="5" s="1"/>
  <c r="E50" i="5" s="1"/>
  <c r="G50" i="5" s="1"/>
  <c r="I50" i="5" s="1"/>
  <c r="F15" i="5"/>
  <c r="H19" i="5"/>
  <c r="G81" i="5" s="1"/>
  <c r="E45" i="5" s="1"/>
  <c r="G45" i="5" s="1"/>
  <c r="I45"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27" i="5"/>
  <c r="H27" i="5" s="1"/>
  <c r="G79" i="5" s="1"/>
  <c r="E43" i="5" s="1"/>
  <c r="G43" i="5" s="1"/>
  <c r="I43"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G88" i="5"/>
  <c r="G90" i="5" l="1"/>
  <c r="AK67" i="1"/>
  <c r="AM67" i="1"/>
  <c r="AL67" i="1"/>
  <c r="S30" i="2"/>
  <c r="T30" i="2"/>
  <c r="H6" i="5" l="1"/>
  <c r="G89" i="5" l="1"/>
  <c r="G8" i="3"/>
  <c r="H8" i="3" s="1"/>
  <c r="G13" i="3"/>
  <c r="H13" i="3" s="1"/>
  <c r="H50" i="3" l="1"/>
  <c r="M15" i="2" l="1"/>
  <c r="L15" i="2"/>
  <c r="M6" i="2"/>
  <c r="L6" i="2"/>
  <c r="N15" i="2" l="1"/>
  <c r="N6" i="2"/>
  <c r="R6" i="2"/>
  <c r="F19" i="3"/>
  <c r="F18" i="3"/>
  <c r="R15" i="2"/>
  <c r="F15" i="3"/>
  <c r="H25" i="5"/>
  <c r="L30" i="2"/>
  <c r="M30" i="2"/>
  <c r="H26" i="5"/>
  <c r="G78" i="5" s="1"/>
  <c r="E42"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D67" i="1"/>
  <c r="G70" i="3" l="1"/>
  <c r="E43" i="3" s="1"/>
  <c r="G43" i="3" s="1"/>
  <c r="I43" i="3" s="1"/>
  <c r="J43" i="3" s="1"/>
  <c r="K43" i="3" s="1"/>
  <c r="E35" i="5" l="1"/>
  <c r="H5" i="5" l="1"/>
  <c r="G42" i="5" l="1"/>
  <c r="I42"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5" i="5"/>
  <c r="I38" i="3"/>
  <c r="G41" i="3"/>
  <c r="I41" i="3" s="1"/>
  <c r="J41" i="3" s="1"/>
  <c r="K41" i="3" s="1"/>
  <c r="G77" i="3" l="1"/>
  <c r="J38" i="3"/>
  <c r="F35" i="5"/>
  <c r="G47" i="3"/>
  <c r="H15" i="5"/>
  <c r="G77" i="5" l="1"/>
  <c r="E41" i="5" s="1"/>
  <c r="H35" i="5"/>
  <c r="K38" i="3"/>
  <c r="I47" i="3"/>
  <c r="G50" i="3"/>
  <c r="G93" i="5" l="1"/>
  <c r="E53" i="5" s="1"/>
  <c r="G53" i="5" s="1"/>
  <c r="I53" i="5" s="1"/>
  <c r="G92" i="5"/>
  <c r="E52" i="5" s="1"/>
  <c r="G52" i="5" s="1"/>
  <c r="I52" i="5" s="1"/>
  <c r="G91" i="5"/>
  <c r="E51" i="5" s="1"/>
  <c r="G51" i="5" s="1"/>
  <c r="I51" i="5" s="1"/>
  <c r="J47" i="3"/>
  <c r="J50" i="3" s="1"/>
  <c r="I50" i="3"/>
  <c r="G41" i="5"/>
  <c r="I41" i="5" s="1"/>
  <c r="K47" i="3" l="1"/>
  <c r="G94" i="5"/>
  <c r="K50" i="3" l="1"/>
  <c r="E54" i="5"/>
  <c r="I54" i="5" l="1"/>
  <c r="G54" i="5"/>
</calcChain>
</file>

<file path=xl/sharedStrings.xml><?xml version="1.0" encoding="utf-8"?>
<sst xmlns="http://schemas.openxmlformats.org/spreadsheetml/2006/main" count="674" uniqueCount="289">
  <si>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</si>
  <si>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</si>
  <si>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</si>
  <si>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</si>
  <si>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</si>
  <si>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</si>
  <si>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</si>
  <si>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</si>
  <si>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</si>
  <si>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</si>
  <si>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</si>
  <si>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</si>
  <si>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</si>
  <si>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</si>
  <si>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</si>
  <si>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</si>
  <si>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</si>
  <si>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</si>
  <si>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</si>
  <si>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</si>
  <si>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</si>
  <si>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</si>
  <si>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</si>
  <si>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</si>
  <si>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</si>
  <si>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</si>
  <si>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</si>
  <si>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</si>
  <si>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</si>
  <si>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</si>
  <si>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</si>
  <si>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</si>
  <si>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</si>
  <si>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</si>
  <si>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</si>
  <si>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</si>
  <si>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</si>
  <si>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</si>
  <si>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</si>
  <si>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</si>
  <si>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</si>
  <si>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</si>
  <si>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</si>
  <si>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</si>
  <si>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</si>
  <si>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</si>
  <si>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</si>
  <si>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</si>
  <si>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</si>
  <si>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</si>
  <si>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</si>
  <si>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</si>
  <si>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</si>
  <si>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</si>
  <si>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</si>
  <si>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</si>
  <si>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</si>
  <si>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</si>
  <si>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</si>
  <si>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</si>
  <si>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</si>
  <si>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</si>
  <si>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</si>
  <si>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</si>
  <si>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</si>
  <si>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</si>
  <si>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</si>
  <si>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</si>
  <si>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</si>
  <si>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</si>
  <si>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</si>
  <si>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</si>
  <si>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</si>
  <si>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</si>
  <si>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</si>
  <si>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</si>
  <si>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</si>
  <si>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</si>
  <si>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</si>
  <si>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</si>
  <si>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</si>
  <si>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</si>
  <si>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</si>
  <si>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</si>
  <si>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</si>
  <si>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</si>
  <si>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</si>
  <si>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</si>
  <si>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</si>
  <si>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</si>
  <si>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</si>
  <si>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</si>
  <si>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</si>
  <si>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</si>
  <si>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</si>
  <si>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</si>
  <si>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</si>
  <si>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</si>
  <si>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</si>
  <si>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</si>
  <si>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</si>
  <si>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</si>
  <si>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</si>
  <si>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</si>
  <si>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</si>
  <si>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</si>
  <si>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</si>
  <si>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</si>
  <si>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</si>
  <si>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</si>
  <si>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</si>
  <si>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</si>
  <si>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</si>
  <si>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</si>
  <si>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</si>
  <si>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</si>
  <si>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</si>
  <si>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</si>
  <si>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</si>
  <si>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</si>
  <si>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</si>
  <si>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</si>
  <si>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</si>
  <si>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</si>
  <si>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</si>
  <si>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</si>
  <si>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</si>
  <si>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</si>
  <si>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</si>
  <si>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</si>
  <si>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</si>
  <si>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</si>
  <si>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</si>
  <si>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</si>
  <si>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</si>
  <si>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</si>
  <si>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</si>
  <si>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คอมฯ
 5%</t>
  </si>
  <si>
    <t>คอมฯ
10%</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</si>
  <si>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</si>
  <si>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</si>
  <si>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</si>
  <si>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</si>
  <si>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</si>
  <si>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</si>
  <si>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</si>
  <si>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</si>
  <si>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</si>
  <si>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</si>
  <si>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</si>
  <si>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</si>
  <si>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</si>
  <si>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</si>
  <si>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</si>
  <si>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</si>
  <si>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</si>
  <si>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</si>
  <si>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Sales Engineer</t>
  </si>
  <si>
    <t>เรทส่วนแบ่งเปอร์เซ็นต์ค่าคอมตาม Memo (พ.1) ลงวันที่ 9/12/2567</t>
  </si>
  <si>
    <t>(Sales)</t>
  </si>
  <si>
    <t>Operation Sales</t>
  </si>
  <si>
    <t>051-2-21873-6</t>
  </si>
  <si>
    <t>138-2-93890-8</t>
  </si>
  <si>
    <t>919-7-16744-9</t>
  </si>
  <si>
    <t>234-2-86145-3</t>
  </si>
  <si>
    <t>สั่งจ่าย</t>
  </si>
  <si>
    <t>ปีที่ 1</t>
  </si>
  <si>
    <t>ปีที่ 2</t>
  </si>
  <si>
    <t>ปีที่ 3</t>
  </si>
  <si>
    <t>ปีที่ 4</t>
  </si>
  <si>
    <t>ปีที่ 5</t>
  </si>
  <si>
    <t>ระยะเวลาสัญญา
(เดือน)</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</si>
  <si>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</si>
  <si>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</si>
  <si>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</si>
  <si>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</si>
  <si>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</si>
  <si>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</si>
  <si>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</si>
  <si>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</si>
  <si>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</si>
  <si>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</si>
  <si>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</si>
  <si>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แบ่งจ่าย/งวด
(ตามปีสัญญา)</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</si>
  <si>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</si>
  <si>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</si>
  <si>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</si>
  <si>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</si>
  <si>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</si>
  <si>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</si>
  <si>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</si>
  <si>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</si>
  <si>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</si>
  <si>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</si>
  <si>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</si>
  <si>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</si>
  <si>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</si>
  <si>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</si>
  <si>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</si>
  <si>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</si>
  <si>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</si>
  <si>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ค่าบริการต่อเดือน</t>
  </si>
  <si>
    <t>ค่าเชื่อม/ติดตั้งต่อเดือน</t>
  </si>
  <si>
    <t>Recheck ยอด 10/2567</t>
  </si>
  <si>
    <t>Cable HLS to UDP</t>
  </si>
  <si>
    <t>Cable HLS to RF</t>
  </si>
  <si>
    <t>% ค่าคอมค่าบริการ
(อัตราก้าวหน้า)</t>
  </si>
  <si>
    <t>รายงานสรุปค่าคอมมิชชั่นจากการติดตั้งประจำปี 2568</t>
  </si>
  <si>
    <t>LK</t>
  </si>
  <si>
    <t>Column1</t>
  </si>
  <si>
    <t>ปีที่2</t>
  </si>
  <si>
    <t>ปีที่3</t>
  </si>
  <si>
    <t>ปีที่4</t>
  </si>
  <si>
    <t>ปีที่5</t>
  </si>
  <si>
    <t>สรุปรายการเบิกค่าคอมมิชชั่น ประจำเดือน มกราคม 2568</t>
  </si>
  <si>
    <t>เงื่อนไขเดิม</t>
  </si>
  <si>
    <t>OS</t>
  </si>
  <si>
    <t>(HP)</t>
  </si>
  <si>
    <t>(RS)</t>
  </si>
  <si>
    <t>ประจำเดือน กุมภาพันธ์</t>
  </si>
  <si>
    <t xml:space="preserve">บริษัท หาญธีร์ ยูนิตี้ กรุ๊ป จำกัด </t>
  </si>
  <si>
    <t>โครงการ Le Siam Hotel Silom Bangkok</t>
  </si>
  <si>
    <t>ต้นทุนช่องรายการ
(ถ้ามี)</t>
  </si>
  <si>
    <t>การจ่ายค่าบริการ</t>
  </si>
  <si>
    <t>YRIVL-2501-0032</t>
  </si>
  <si>
    <t>YR</t>
  </si>
  <si>
    <t>(กรณีมีต้นทุน)</t>
  </si>
  <si>
    <t>(กรณีไม่มีต้นทุน)</t>
  </si>
  <si>
    <t>ค่าเชื่อมสัญญาณ/ติดตั้ง/ขายอุปกรณ์</t>
  </si>
  <si>
    <t>อาคารเพชรไทย</t>
  </si>
  <si>
    <t>โครงการ Le Ram</t>
  </si>
  <si>
    <t>คุณอภิชา ธนาสุภัคสินธร</t>
  </si>
  <si>
    <t>RMIVL-2501-0035</t>
  </si>
  <si>
    <t>RM</t>
  </si>
  <si>
    <t>คุณศิริพล</t>
  </si>
  <si>
    <t>-</t>
  </si>
  <si>
    <t>บริษัท อพอลโล่ บูติค จำกัด</t>
  </si>
  <si>
    <t>โครงการ Voque Hotel Sukhumvit51</t>
  </si>
  <si>
    <t>LBIVL-2502-0265</t>
  </si>
  <si>
    <t>บริษัท บานไม่รู้โรย สุวรรณภูมิ จำกัด</t>
  </si>
  <si>
    <t>LBIVL-2501-0560</t>
  </si>
  <si>
    <t>รอทำจ่ายรอบ 1/2026</t>
  </si>
  <si>
    <t>YRSP-2502-0019</t>
  </si>
  <si>
    <t>ส่งเบิกพร้อมเอกสารตัวจริง</t>
  </si>
  <si>
    <t>LBSP-2502-0169</t>
  </si>
  <si>
    <t>LKIVL-2410-0021</t>
  </si>
  <si>
    <t>LKSP-2502-0083</t>
  </si>
  <si>
    <t>LBIVL-2501-0561</t>
  </si>
  <si>
    <t>LBSP-2503-0001</t>
  </si>
  <si>
    <t>บริษัท วัน แบงค็อก จำกัด</t>
  </si>
  <si>
    <t>รอทำจ่ายรอบ 2/2026</t>
  </si>
  <si>
    <t>YRIVL-2502-0001</t>
  </si>
  <si>
    <t>YRIVL-2502-0002</t>
  </si>
  <si>
    <t>บริษัท สมุย พาราไดซ์ รีสอร์ท จำกัด</t>
  </si>
  <si>
    <t>โครงการ Paradise Beach Resort</t>
  </si>
  <si>
    <t>โครงการ Amaranth Suvarnabhumi Hotel</t>
  </si>
  <si>
    <t>โครงการ The Ritz-Carlton Hotel @ One Bangkok</t>
  </si>
  <si>
    <t>KSMIVL-2502-0004</t>
  </si>
  <si>
    <t>KSMIVL-2502-0005</t>
  </si>
  <si>
    <t>KSMIVL-2502-0006</t>
  </si>
  <si>
    <t>KSM</t>
  </si>
  <si>
    <t>KSMSP-2502-0003</t>
  </si>
  <si>
    <t>บริษัท ปิยะสมบัติแมนชั่น จำกัด</t>
  </si>
  <si>
    <t>โครงการ Novotel Sukhumvit 20</t>
  </si>
  <si>
    <t>LKIVL-2502-0096</t>
  </si>
  <si>
    <t>YRSP-2502-0020</t>
  </si>
  <si>
    <t>LKSP-2502-0078</t>
  </si>
  <si>
    <t>PRSP-2502-0035</t>
  </si>
  <si>
    <t>PR</t>
  </si>
  <si>
    <t>บริษัท สมมิตรอพาร์ตเม้นต์ จำกัด</t>
  </si>
  <si>
    <t>โครงการ สมมิตร อพาร์ตเม้นต์</t>
  </si>
  <si>
    <t>ค่าบริการรายปี (กพ.-พ.ย.68 ฟรี ธ.ค.68-ม.ค</t>
  </si>
  <si>
    <t>PRIVL-2502-0042</t>
  </si>
  <si>
    <t>RMSP-2502-0065</t>
  </si>
  <si>
    <t>LBSP-2502-0170</t>
  </si>
  <si>
    <t>บริษัท แทส แอสเซท กรุ๊ป จำกัด</t>
  </si>
  <si>
    <t>โครงการ เทสโทเรีย คอลเลคชัน สุขุมวิท</t>
  </si>
  <si>
    <t>LKSP-2502-0079</t>
  </si>
  <si>
    <t>LKIVL-2409-0142</t>
  </si>
  <si>
    <t>NWSP-2502-0001</t>
  </si>
  <si>
    <t>NWIVL-2502-0001</t>
  </si>
  <si>
    <t>NW</t>
  </si>
  <si>
    <t>บริษัท อมรปิ่นทิพย์ จำกัด</t>
  </si>
  <si>
    <t>โรงแรมแกรนด์ ริชม่อนด์</t>
  </si>
  <si>
    <t>จำนวน 18,000 (เฉลี่ย 1,500/เดือน) หัก 3% = 540 (เฉลี่ย 45/เดือน)</t>
  </si>
  <si>
    <t>รอทำจ่ายรอบ 1/2027</t>
  </si>
  <si>
    <t>ปีที่1
(ทำจ่ายรอบ 3/2025)</t>
  </si>
  <si>
    <t>ค่าบริการดึงจาก collum นี้</t>
  </si>
  <si>
    <t>รายชื่อผู้รับค่าคอมส่วนงาน HP+RS (ตามหลักเกณฑ์ใหม่)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</si>
</sst>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7">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4"/>
      <color indexed="10"/>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2"/>
      <color rgb="FF0000FF"/>
      <name val="Tahoma"/>
      <family val="2"/>
    </font>
    <font>
      <sz val="14"/>
      <color theme="0" tint="-0.499984740745262"/>
      <name val="Tahoma"/>
      <family val="2"/>
    </font>
    <font>
      <b/>
      <sz val="9"/>
      <name val="Arial"/>
      <family val="2"/>
    </font>
    <font>
      <sz val="10"/>
      <name val="Tahoma"/>
      <family val="2"/>
    </font>
    <font>
      <b/>
      <sz val="10"/>
      <name val="Tahoma"/>
      <family val="2"/>
    </font>
    <font>
      <b/>
      <sz val="20"/>
      <color theme="0"/>
      <name val="Tahoma"/>
      <family val="2"/>
    </font>
    <font>
      <b/>
      <sz val="18"/>
      <color theme="0"/>
      <name val="Tahoma"/>
      <family val="2"/>
    </font>
    <font>
      <sz val="14"/>
      <color rgb="FFFF0000"/>
      <name val="Tahoma"/>
      <family val="2"/>
    </font>
    <font>
      <sz val="14"/>
      <color rgb="FFA4C7FA"/>
      <name val="Tahoma"/>
      <family val="2"/>
    </font>
    <font>
      <sz val="14"/>
      <color rgb="FFCCECFF"/>
      <name val="Tahoma"/>
      <family val="2"/>
    </font>
    <font>
      <u val="doubleAccounting"/>
      <sz val="14"/>
      <name val="Arial"/>
      <family val="2"/>
    </font>
    <font>
      <u val="doubleAccounting"/>
      <sz val="14"/>
      <color indexed="8"/>
      <name val="Arial"/>
      <family val="2"/>
    </font>
    <font>
      <sz val="13"/>
      <name val="Tahoma"/>
      <family val="2"/>
    </font>
  </fonts>
  <fills count="4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2"/>
        <bgColor indexed="64"/>
      </patternFill>
    </fill>
    <fill>
      <patternFill patternType="solid">
        <fgColor theme="2"/>
      </patternFill>
    </fill>
    <fill>
      <patternFill patternType="solid">
        <fgColor rgb="FFC5D3FF"/>
        <bgColor rgb="FFBDD6EE"/>
      </patternFill>
    </fill>
    <fill>
      <patternFill patternType="solid">
        <fgColor theme="2"/>
        <bgColor rgb="FFBDD6EE"/>
      </patternFill>
    </fill>
    <fill>
      <patternFill patternType="solid">
        <fgColor rgb="FFC5D3FF"/>
        <bgColor indexed="64"/>
      </patternFill>
    </fill>
    <fill>
      <patternFill patternType="solid">
        <fgColor theme="4"/>
        <bgColor indexed="64"/>
      </patternFill>
    </fill>
  </fills>
  <borders count="127">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53"/>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hair">
        <color indexed="64"/>
      </left>
      <right style="medium">
        <color indexed="64"/>
      </right>
      <top/>
      <bottom style="medium">
        <color indexed="53"/>
      </bottom>
      <diagonal/>
    </border>
    <border>
      <left style="medium">
        <color indexed="64"/>
      </left>
      <right style="hair">
        <color indexed="64"/>
      </right>
      <top style="dotted">
        <color theme="8" tint="0.39997558519241921"/>
      </top>
      <bottom style="dotted">
        <color theme="8" tint="0.39997558519241921"/>
      </bottom>
      <diagonal/>
    </border>
    <border>
      <left/>
      <right style="hair">
        <color indexed="64"/>
      </right>
      <top style="medium">
        <color indexed="53"/>
      </top>
      <bottom style="dotted">
        <color theme="8" tint="0.39997558519241921"/>
      </bottom>
      <diagonal/>
    </border>
    <border>
      <left/>
      <right style="hair">
        <color indexed="64"/>
      </right>
      <top style="dotted">
        <color theme="8" tint="0.39997558519241921"/>
      </top>
      <bottom style="dotted">
        <color theme="8" tint="0.39997558519241921"/>
      </bottom>
      <diagonal/>
    </border>
    <border>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medium">
        <color indexed="53"/>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dotted">
        <color theme="4" tint="0.79998168889431442"/>
      </top>
      <bottom style="dotted">
        <color theme="8" tint="0.39997558519241921"/>
      </bottom>
      <diagonal/>
    </border>
    <border>
      <left style="thin">
        <color indexed="64"/>
      </left>
      <right style="thin">
        <color indexed="64"/>
      </right>
      <top style="medium">
        <color indexed="53"/>
      </top>
      <bottom style="dotted">
        <color theme="4" tint="0.79998168889431442"/>
      </bottom>
      <diagonal/>
    </border>
    <border>
      <left style="medium">
        <color indexed="64"/>
      </left>
      <right/>
      <top/>
      <bottom style="double">
        <color indexed="64"/>
      </bottom>
      <diagonal/>
    </border>
    <border>
      <left/>
      <right style="thin">
        <color indexed="64"/>
      </right>
      <top/>
      <bottom style="double">
        <color indexed="64"/>
      </bottom>
      <diagonal/>
    </border>
    <border>
      <left style="thin">
        <color auto="1"/>
      </left>
      <right style="medium">
        <color indexed="64"/>
      </right>
      <top/>
      <bottom style="double">
        <color indexed="64"/>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36">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4" xfId="8" applyFont="1" applyBorder="1" applyAlignment="1" applyProtection="1">
      <alignment horizontal="center" vertical="center" wrapText="1"/>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2" xfId="0" applyFont="1" applyBorder="1" applyAlignment="1" applyProtection="1">
      <alignment horizontal="centerContinuous"/>
      <protection locked="0"/>
    </xf>
    <xf numFmtId="0" fontId="8" fillId="0" borderId="32" xfId="0" applyFont="1" applyBorder="1" applyAlignment="1" applyProtection="1">
      <alignment horizontal="center"/>
      <protection locked="0"/>
    </xf>
    <xf numFmtId="43" fontId="8" fillId="0" borderId="32"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5"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6"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4" xfId="11" applyFont="1" applyFill="1" applyBorder="1" applyAlignment="1">
      <alignment horizontal="center"/>
    </xf>
    <xf numFmtId="0" fontId="13" fillId="0" borderId="34" xfId="10" applyFont="1" applyBorder="1" applyAlignment="1">
      <alignment horizontal="left"/>
    </xf>
    <xf numFmtId="0" fontId="13" fillId="0" borderId="35" xfId="10" applyFont="1" applyBorder="1" applyAlignment="1">
      <alignment horizontal="left"/>
    </xf>
    <xf numFmtId="43" fontId="8" fillId="0" borderId="32" xfId="0" applyNumberFormat="1" applyFont="1" applyBorder="1" applyAlignment="1" applyProtection="1">
      <alignment horizontal="left"/>
      <protection locked="0"/>
    </xf>
    <xf numFmtId="164" fontId="44" fillId="0" borderId="0" xfId="10" applyNumberFormat="1" applyFont="1"/>
    <xf numFmtId="43" fontId="8" fillId="10" borderId="32"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6" xfId="10" applyFont="1" applyBorder="1" applyAlignment="1">
      <alignment horizontal="left"/>
    </xf>
    <xf numFmtId="0" fontId="13" fillId="0" borderId="37" xfId="10" applyFont="1" applyBorder="1" applyAlignment="1">
      <alignment horizontal="left"/>
    </xf>
    <xf numFmtId="4" fontId="10" fillId="11" borderId="38" xfId="7" applyNumberFormat="1" applyFont="1" applyFill="1" applyBorder="1" applyAlignment="1" applyProtection="1">
      <alignment horizontal="center"/>
      <protection hidden="1"/>
    </xf>
    <xf numFmtId="0" fontId="4" fillId="0" borderId="4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1"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2"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9" fontId="37" fillId="7" borderId="0" xfId="9" applyFont="1" applyFill="1" applyAlignment="1">
      <alignment horizontal="center"/>
    </xf>
    <xf numFmtId="43" fontId="8" fillId="0" borderId="0" xfId="11" applyFont="1"/>
    <xf numFmtId="0" fontId="46" fillId="4" borderId="24"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50"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1" fillId="0" borderId="0" xfId="0" applyFont="1" applyProtection="1">
      <protection locked="0"/>
    </xf>
    <xf numFmtId="0" fontId="13" fillId="0" borderId="45" xfId="12" applyFont="1" applyBorder="1" applyAlignment="1">
      <alignment horizontal="center"/>
    </xf>
    <xf numFmtId="9" fontId="13" fillId="0" borderId="45" xfId="9" applyFont="1" applyBorder="1" applyAlignment="1">
      <alignment horizontal="center"/>
    </xf>
    <xf numFmtId="43" fontId="13" fillId="0" borderId="45" xfId="12" applyNumberFormat="1" applyFont="1" applyBorder="1" applyAlignment="1">
      <alignment horizontal="center"/>
    </xf>
    <xf numFmtId="0" fontId="22" fillId="0" borderId="0" xfId="10" applyFont="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4" xfId="12" applyFont="1" applyBorder="1"/>
    <xf numFmtId="0" fontId="32" fillId="0" borderId="36"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5" xfId="12" applyFont="1" applyBorder="1"/>
    <xf numFmtId="0" fontId="13" fillId="0" borderId="46" xfId="10" applyFont="1" applyBorder="1" applyAlignment="1">
      <alignment horizontal="left"/>
    </xf>
    <xf numFmtId="0" fontId="13" fillId="0" borderId="47" xfId="10" applyFont="1" applyBorder="1" applyAlignment="1">
      <alignment horizontal="left"/>
    </xf>
    <xf numFmtId="9" fontId="52" fillId="17" borderId="0" xfId="0" applyNumberFormat="1" applyFont="1" applyFill="1" applyAlignment="1">
      <alignment horizontal="center"/>
    </xf>
    <xf numFmtId="9" fontId="30" fillId="0" borderId="46" xfId="9" applyFont="1" applyBorder="1" applyAlignment="1">
      <alignment horizontal="center"/>
    </xf>
    <xf numFmtId="43" fontId="13" fillId="0" borderId="46" xfId="12" applyNumberFormat="1" applyFont="1" applyBorder="1" applyAlignment="1">
      <alignment horizontal="center"/>
    </xf>
    <xf numFmtId="0" fontId="13" fillId="0" borderId="44" xfId="12" applyFont="1" applyBorder="1" applyAlignment="1">
      <alignment horizontal="center"/>
    </xf>
    <xf numFmtId="0" fontId="30" fillId="0" borderId="46" xfId="12" applyFont="1" applyBorder="1" applyAlignment="1">
      <alignment horizontal="left"/>
    </xf>
    <xf numFmtId="0" fontId="32" fillId="0" borderId="46" xfId="12" applyFont="1" applyBorder="1"/>
    <xf numFmtId="164" fontId="13" fillId="0" borderId="46" xfId="12" applyNumberFormat="1" applyFont="1" applyBorder="1" applyAlignment="1">
      <alignment horizontal="center"/>
    </xf>
    <xf numFmtId="0" fontId="13" fillId="0" borderId="46" xfId="12" applyFont="1" applyBorder="1" applyAlignment="1">
      <alignment horizontal="center"/>
    </xf>
    <xf numFmtId="9" fontId="13" fillId="0" borderId="46"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1"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3" xfId="0" applyFont="1" applyBorder="1" applyAlignment="1" applyProtection="1">
      <alignment horizontal="center"/>
      <protection locked="0"/>
    </xf>
    <xf numFmtId="43" fontId="22" fillId="10" borderId="0" xfId="11" applyFont="1" applyFill="1" applyBorder="1"/>
    <xf numFmtId="0" fontId="8" fillId="19" borderId="45"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6" xfId="12" applyFont="1" applyFill="1" applyBorder="1" applyAlignment="1">
      <alignment horizontal="center" vertical="center"/>
    </xf>
    <xf numFmtId="43" fontId="8" fillId="19" borderId="46" xfId="11" applyFont="1" applyFill="1" applyBorder="1" applyAlignment="1">
      <alignment horizontal="center" vertical="center"/>
    </xf>
    <xf numFmtId="0" fontId="8" fillId="19" borderId="46" xfId="12" applyFont="1" applyFill="1" applyBorder="1" applyAlignment="1">
      <alignment horizontal="center" vertical="center" wrapText="1"/>
    </xf>
    <xf numFmtId="0" fontId="8" fillId="19" borderId="44"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4"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6" xfId="9" applyNumberFormat="1" applyFont="1" applyBorder="1" applyAlignment="1">
      <alignment horizontal="center"/>
    </xf>
    <xf numFmtId="43" fontId="13" fillId="0" borderId="46" xfId="11" applyFont="1" applyBorder="1" applyAlignment="1"/>
    <xf numFmtId="43" fontId="13" fillId="0" borderId="46" xfId="11" applyFont="1" applyFill="1" applyBorder="1" applyAlignment="1"/>
    <xf numFmtId="43" fontId="13" fillId="0" borderId="46" xfId="1" applyFont="1" applyBorder="1" applyAlignment="1"/>
    <xf numFmtId="43" fontId="13" fillId="0" borderId="46" xfId="12" applyNumberFormat="1" applyFont="1" applyBorder="1"/>
    <xf numFmtId="43" fontId="13" fillId="18" borderId="46" xfId="9" applyNumberFormat="1" applyFont="1" applyFill="1" applyBorder="1" applyAlignment="1"/>
    <xf numFmtId="43" fontId="13" fillId="0" borderId="46" xfId="9" applyNumberFormat="1" applyFont="1" applyFill="1" applyBorder="1" applyAlignment="1">
      <alignment horizontal="center"/>
    </xf>
    <xf numFmtId="0" fontId="23" fillId="0" borderId="46" xfId="12" applyFont="1" applyBorder="1"/>
    <xf numFmtId="10" fontId="13" fillId="0" borderId="46" xfId="9" applyNumberFormat="1" applyFont="1" applyBorder="1" applyAlignment="1">
      <alignment horizontal="center"/>
    </xf>
    <xf numFmtId="43" fontId="22" fillId="0" borderId="46" xfId="11" applyFont="1" applyFill="1" applyBorder="1" applyAlignment="1"/>
    <xf numFmtId="43" fontId="22" fillId="10" borderId="46" xfId="11" applyFont="1" applyFill="1" applyBorder="1" applyAlignment="1"/>
    <xf numFmtId="0" fontId="13" fillId="0" borderId="46"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7"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8" xfId="6" applyFont="1" applyBorder="1" applyAlignment="1" applyProtection="1">
      <alignment horizontal="center"/>
      <protection locked="0"/>
    </xf>
    <xf numFmtId="0" fontId="40" fillId="5" borderId="29"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2" xfId="8" applyFont="1" applyBorder="1" applyAlignment="1" applyProtection="1">
      <alignment horizontal="center" vertical="center" wrapText="1"/>
      <protection locked="0"/>
    </xf>
    <xf numFmtId="0" fontId="46" fillId="4" borderId="23" xfId="8" applyFont="1" applyBorder="1" applyAlignment="1" applyProtection="1">
      <alignment horizontal="center" vertical="center" wrapText="1"/>
      <protection locked="0"/>
    </xf>
    <xf numFmtId="43" fontId="46" fillId="4" borderId="24" xfId="1" applyFont="1" applyFill="1" applyBorder="1" applyAlignment="1" applyProtection="1">
      <alignment horizontal="center" vertical="center" wrapText="1"/>
      <protection locked="0"/>
    </xf>
    <xf numFmtId="0" fontId="46" fillId="4" borderId="24" xfId="1" applyNumberFormat="1" applyFont="1" applyFill="1" applyBorder="1" applyAlignment="1" applyProtection="1">
      <alignment horizontal="center" vertical="center" wrapText="1"/>
      <protection locked="0"/>
    </xf>
    <xf numFmtId="43" fontId="46" fillId="12" borderId="24"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6"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2" xfId="6" applyFont="1" applyBorder="1" applyAlignment="1" applyProtection="1">
      <alignment horizontal="center"/>
      <protection locked="0"/>
    </xf>
    <xf numFmtId="0" fontId="10" fillId="11" borderId="23" xfId="6" applyFont="1" applyFill="1" applyBorder="1" applyAlignment="1" applyProtection="1">
      <alignment horizontal="center"/>
      <protection locked="0"/>
    </xf>
    <xf numFmtId="0" fontId="10" fillId="0" borderId="24" xfId="6" applyFont="1" applyBorder="1" applyAlignment="1" applyProtection="1">
      <alignment shrinkToFit="1"/>
      <protection locked="0"/>
    </xf>
    <xf numFmtId="0" fontId="10" fillId="0" borderId="24" xfId="6" applyFont="1" applyBorder="1" applyAlignment="1" applyProtection="1">
      <alignment horizontal="center" shrinkToFit="1"/>
      <protection locked="0"/>
    </xf>
    <xf numFmtId="43" fontId="10" fillId="0" borderId="24" xfId="1" applyFont="1" applyBorder="1" applyAlignment="1" applyProtection="1">
      <alignment horizontal="center" shrinkToFit="1"/>
      <protection locked="0"/>
    </xf>
    <xf numFmtId="17" fontId="10" fillId="0" borderId="48" xfId="1" quotePrefix="1" applyNumberFormat="1" applyFont="1" applyBorder="1" applyAlignment="1" applyProtection="1">
      <alignment horizontal="center" shrinkToFit="1"/>
      <protection locked="0"/>
    </xf>
    <xf numFmtId="43" fontId="10" fillId="0" borderId="48" xfId="1" applyFont="1" applyBorder="1" applyAlignment="1" applyProtection="1">
      <alignment horizontal="center" shrinkToFit="1"/>
      <protection locked="0"/>
    </xf>
    <xf numFmtId="43" fontId="10" fillId="0" borderId="24" xfId="1" applyFont="1" applyBorder="1" applyAlignment="1" applyProtection="1">
      <alignment shrinkToFit="1"/>
      <protection locked="0"/>
    </xf>
    <xf numFmtId="164" fontId="4" fillId="5" borderId="48" xfId="1" applyNumberFormat="1" applyFont="1" applyFill="1" applyBorder="1" applyAlignment="1" applyProtection="1">
      <protection locked="0"/>
    </xf>
    <xf numFmtId="43" fontId="10" fillId="0" borderId="48" xfId="1" applyFont="1" applyBorder="1" applyAlignment="1" applyProtection="1">
      <alignment shrinkToFit="1"/>
      <protection locked="0"/>
    </xf>
    <xf numFmtId="164" fontId="4" fillId="5" borderId="24" xfId="1" applyNumberFormat="1" applyFont="1" applyFill="1" applyBorder="1" applyAlignment="1" applyProtection="1">
      <protection locked="0"/>
    </xf>
    <xf numFmtId="43" fontId="10" fillId="0" borderId="24" xfId="1" applyFont="1" applyBorder="1" applyAlignment="1" applyProtection="1">
      <alignment horizontal="right" wrapText="1" shrinkToFit="1"/>
      <protection locked="0"/>
    </xf>
    <xf numFmtId="4" fontId="10" fillId="3" borderId="24" xfId="7" applyNumberFormat="1" applyFont="1" applyBorder="1" applyAlignment="1" applyProtection="1">
      <protection hidden="1"/>
    </xf>
    <xf numFmtId="0" fontId="4" fillId="0" borderId="48" xfId="0" applyFont="1" applyBorder="1" applyAlignment="1" applyProtection="1">
      <alignment horizontal="center"/>
      <protection locked="0"/>
    </xf>
    <xf numFmtId="4" fontId="4" fillId="0" borderId="24"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49" xfId="0" applyFont="1" applyBorder="1" applyProtection="1">
      <protection locked="0"/>
    </xf>
    <xf numFmtId="0" fontId="4" fillId="0" borderId="39" xfId="0" applyFont="1" applyBorder="1" applyProtection="1">
      <protection locked="0"/>
    </xf>
    <xf numFmtId="0" fontId="4" fillId="5" borderId="30" xfId="6" applyFont="1" applyFill="1" applyBorder="1" applyAlignment="1" applyProtection="1">
      <alignment horizontal="center"/>
      <protection locked="0"/>
    </xf>
    <xf numFmtId="0" fontId="4" fillId="5" borderId="31" xfId="6" applyFont="1" applyFill="1" applyBorder="1" applyAlignment="1" applyProtection="1">
      <alignment horizontal="center"/>
      <protection locked="0"/>
    </xf>
    <xf numFmtId="49" fontId="4" fillId="0" borderId="32" xfId="6" applyNumberFormat="1" applyFont="1" applyBorder="1" applyAlignment="1" applyProtection="1">
      <alignment horizontal="left" shrinkToFit="1"/>
      <protection locked="0"/>
    </xf>
    <xf numFmtId="49" fontId="4" fillId="0" borderId="32" xfId="6" applyNumberFormat="1" applyFont="1" applyBorder="1" applyAlignment="1" applyProtection="1">
      <alignment horizontal="center" shrinkToFit="1"/>
      <protection locked="0"/>
    </xf>
    <xf numFmtId="43" fontId="4" fillId="0" borderId="32" xfId="1" applyFont="1" applyBorder="1" applyAlignment="1" applyProtection="1">
      <alignment horizontal="center" shrinkToFit="1"/>
      <protection locked="0"/>
    </xf>
    <xf numFmtId="0" fontId="4" fillId="0" borderId="32" xfId="1" applyNumberFormat="1" applyFont="1" applyBorder="1" applyAlignment="1" applyProtection="1">
      <alignment horizontal="center" shrinkToFit="1"/>
      <protection locked="0"/>
    </xf>
    <xf numFmtId="43" fontId="4" fillId="0" borderId="32" xfId="1" applyFont="1" applyBorder="1" applyAlignment="1" applyProtection="1">
      <alignment horizontal="left" shrinkToFit="1"/>
      <protection locked="0"/>
    </xf>
    <xf numFmtId="4" fontId="4" fillId="0" borderId="32" xfId="1" applyNumberFormat="1" applyFont="1" applyBorder="1" applyAlignment="1" applyProtection="1">
      <protection locked="0"/>
    </xf>
    <xf numFmtId="4" fontId="4" fillId="3" borderId="32" xfId="7" applyNumberFormat="1" applyFont="1" applyBorder="1" applyAlignment="1" applyProtection="1">
      <protection hidden="1"/>
    </xf>
    <xf numFmtId="14" fontId="4" fillId="0" borderId="32" xfId="0" applyNumberFormat="1" applyFont="1" applyBorder="1" applyAlignment="1" applyProtection="1">
      <alignment horizontal="center"/>
      <protection locked="0"/>
    </xf>
    <xf numFmtId="4" fontId="4" fillId="11" borderId="32" xfId="7" applyNumberFormat="1" applyFont="1" applyFill="1" applyBorder="1" applyAlignment="1" applyProtection="1">
      <alignment horizontal="center"/>
      <protection hidden="1"/>
    </xf>
    <xf numFmtId="4" fontId="4" fillId="11" borderId="50" xfId="7" applyNumberFormat="1" applyFont="1" applyFill="1" applyBorder="1" applyAlignment="1" applyProtection="1">
      <alignment horizontal="center"/>
      <protection hidden="1"/>
    </xf>
    <xf numFmtId="14" fontId="4" fillId="0" borderId="50" xfId="0" applyNumberFormat="1" applyFont="1" applyBorder="1" applyProtection="1">
      <protection locked="0"/>
    </xf>
    <xf numFmtId="0" fontId="53" fillId="14" borderId="24" xfId="0" applyFont="1" applyFill="1" applyBorder="1" applyAlignment="1">
      <alignment horizontal="center" vertical="center" wrapText="1"/>
    </xf>
    <xf numFmtId="0" fontId="39" fillId="15" borderId="51" xfId="0" applyFont="1" applyFill="1" applyBorder="1" applyAlignment="1">
      <alignment horizontal="center" vertical="center" wrapText="1"/>
    </xf>
    <xf numFmtId="0" fontId="39" fillId="14" borderId="51" xfId="0" applyFont="1" applyFill="1" applyBorder="1" applyAlignment="1">
      <alignment horizontal="center" vertical="center" wrapText="1"/>
    </xf>
    <xf numFmtId="0" fontId="40" fillId="5" borderId="30" xfId="6" applyFont="1" applyFill="1" applyBorder="1" applyAlignment="1" applyProtection="1">
      <alignment horizontal="center"/>
      <protection locked="0"/>
    </xf>
    <xf numFmtId="0" fontId="40" fillId="5" borderId="31" xfId="6" applyFont="1" applyFill="1" applyBorder="1" applyAlignment="1" applyProtection="1">
      <alignment horizontal="center"/>
      <protection locked="0"/>
    </xf>
    <xf numFmtId="49" fontId="36" fillId="0" borderId="32" xfId="6" applyNumberFormat="1" applyFont="1" applyBorder="1" applyAlignment="1" applyProtection="1">
      <alignment horizontal="left" shrinkToFit="1"/>
      <protection locked="0"/>
    </xf>
    <xf numFmtId="0" fontId="10" fillId="0" borderId="32" xfId="1" applyNumberFormat="1" applyFont="1" applyBorder="1" applyAlignment="1" applyProtection="1">
      <alignment horizontal="center" shrinkToFit="1"/>
      <protection locked="0"/>
    </xf>
    <xf numFmtId="4" fontId="10" fillId="3" borderId="32" xfId="7" applyNumberFormat="1" applyFont="1" applyBorder="1" applyAlignment="1" applyProtection="1">
      <protection hidden="1"/>
    </xf>
    <xf numFmtId="4" fontId="10" fillId="11" borderId="32" xfId="7" applyNumberFormat="1" applyFont="1" applyFill="1" applyBorder="1" applyAlignment="1" applyProtection="1">
      <alignment horizontal="center"/>
      <protection hidden="1"/>
    </xf>
    <xf numFmtId="4" fontId="10" fillId="11" borderId="50" xfId="7" applyNumberFormat="1" applyFont="1" applyFill="1" applyBorder="1" applyAlignment="1" applyProtection="1">
      <alignment horizontal="center"/>
      <protection hidden="1"/>
    </xf>
    <xf numFmtId="0" fontId="10" fillId="0" borderId="52" xfId="6" applyFont="1" applyBorder="1" applyAlignment="1" applyProtection="1">
      <alignment horizontal="center"/>
      <protection locked="0"/>
    </xf>
    <xf numFmtId="0" fontId="10" fillId="0" borderId="53" xfId="6" applyFont="1" applyBorder="1" applyAlignment="1" applyProtection="1">
      <alignment horizontal="center"/>
      <protection locked="0"/>
    </xf>
    <xf numFmtId="0" fontId="10" fillId="0" borderId="54" xfId="6" applyFont="1" applyBorder="1" applyAlignment="1" applyProtection="1">
      <alignment shrinkToFit="1"/>
      <protection locked="0"/>
    </xf>
    <xf numFmtId="43" fontId="10" fillId="0" borderId="54" xfId="1" applyFont="1" applyBorder="1" applyAlignment="1" applyProtection="1">
      <alignment horizontal="center" shrinkToFit="1"/>
      <protection locked="0"/>
    </xf>
    <xf numFmtId="17" fontId="10" fillId="0" borderId="54"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4" xfId="1" applyFont="1" applyFill="1" applyBorder="1" applyAlignment="1" applyProtection="1">
      <alignment horizontal="center" shrinkToFit="1"/>
      <protection locked="0"/>
    </xf>
    <xf numFmtId="164" fontId="4" fillId="5" borderId="54" xfId="1" applyNumberFormat="1" applyFont="1" applyFill="1" applyBorder="1" applyAlignment="1" applyProtection="1">
      <protection locked="0"/>
    </xf>
    <xf numFmtId="43" fontId="10" fillId="0" borderId="54"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4" xfId="0" applyFont="1" applyBorder="1" applyAlignment="1" applyProtection="1">
      <alignment horizontal="center"/>
      <protection locked="0"/>
    </xf>
    <xf numFmtId="4" fontId="10" fillId="11" borderId="54" xfId="7" applyNumberFormat="1" applyFont="1" applyFill="1" applyBorder="1" applyAlignment="1" applyProtection="1">
      <alignment horizontal="center"/>
      <protection hidden="1"/>
    </xf>
    <xf numFmtId="0" fontId="4" fillId="0" borderId="55" xfId="0" applyFont="1" applyBorder="1" applyAlignment="1" applyProtection="1">
      <alignment horizontal="center"/>
      <protection locked="0"/>
    </xf>
    <xf numFmtId="0" fontId="4" fillId="0" borderId="56" xfId="6" applyFont="1" applyBorder="1" applyAlignment="1" applyProtection="1">
      <alignment horizontal="center"/>
      <protection locked="0"/>
    </xf>
    <xf numFmtId="0" fontId="4" fillId="0" borderId="57" xfId="6" applyFont="1" applyBorder="1" applyAlignment="1" applyProtection="1">
      <alignment horizontal="center"/>
      <protection locked="0"/>
    </xf>
    <xf numFmtId="0" fontId="10" fillId="0" borderId="48" xfId="6" applyFont="1" applyBorder="1" applyAlignment="1" applyProtection="1">
      <alignment shrinkToFit="1"/>
      <protection locked="0"/>
    </xf>
    <xf numFmtId="0" fontId="4" fillId="0" borderId="58" xfId="0" applyFont="1" applyBorder="1" applyAlignment="1" applyProtection="1">
      <alignment horizontal="center"/>
      <protection locked="0"/>
    </xf>
    <xf numFmtId="0" fontId="4" fillId="0" borderId="38" xfId="0" applyFont="1" applyBorder="1" applyAlignment="1" applyProtection="1">
      <alignment horizontal="center"/>
      <protection locked="0"/>
    </xf>
    <xf numFmtId="0" fontId="36" fillId="0" borderId="32" xfId="6" applyFont="1" applyBorder="1" applyAlignment="1" applyProtection="1">
      <alignment horizontal="left" shrinkToFit="1"/>
      <protection locked="0"/>
    </xf>
    <xf numFmtId="0" fontId="4" fillId="0" borderId="32" xfId="6" applyFont="1" applyBorder="1" applyAlignment="1" applyProtection="1">
      <alignment horizontal="center" shrinkToFit="1"/>
      <protection locked="0"/>
    </xf>
    <xf numFmtId="0" fontId="10" fillId="0" borderId="32" xfId="6" applyFont="1" applyBorder="1" applyAlignment="1" applyProtection="1">
      <alignment horizontal="center" shrinkToFit="1"/>
      <protection locked="0"/>
    </xf>
    <xf numFmtId="43" fontId="10" fillId="0" borderId="32" xfId="1" applyFont="1" applyBorder="1" applyAlignment="1" applyProtection="1">
      <alignment horizontal="center" shrinkToFit="1"/>
      <protection locked="0"/>
    </xf>
    <xf numFmtId="4" fontId="10" fillId="0" borderId="32" xfId="1" applyNumberFormat="1" applyFont="1" applyBorder="1" applyAlignment="1" applyProtection="1">
      <protection locked="0"/>
    </xf>
    <xf numFmtId="14" fontId="4" fillId="0" borderId="50"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6" xfId="10" applyFont="1" applyBorder="1" applyAlignment="1">
      <alignment horizontal="left"/>
    </xf>
    <xf numFmtId="9" fontId="30" fillId="0" borderId="44" xfId="9" applyFont="1" applyBorder="1" applyAlignment="1">
      <alignment horizontal="center"/>
    </xf>
    <xf numFmtId="0" fontId="30" fillId="0" borderId="51" xfId="12" applyFont="1" applyBorder="1" applyAlignment="1">
      <alignment horizontal="left"/>
    </xf>
    <xf numFmtId="43" fontId="46" fillId="0" borderId="63"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6" xfId="0" applyFont="1" applyBorder="1"/>
    <xf numFmtId="0" fontId="43" fillId="0" borderId="46" xfId="0" applyFont="1" applyBorder="1"/>
    <xf numFmtId="0" fontId="0" fillId="0" borderId="46" xfId="0" applyBorder="1"/>
    <xf numFmtId="0" fontId="0" fillId="25" borderId="46" xfId="0" applyFill="1" applyBorder="1"/>
    <xf numFmtId="0" fontId="42" fillId="16" borderId="67" xfId="0" applyFont="1" applyFill="1" applyBorder="1" applyAlignment="1">
      <alignment horizontal="center" vertical="top" wrapText="1"/>
    </xf>
    <xf numFmtId="0" fontId="13" fillId="0" borderId="0" xfId="12" applyFont="1" applyAlignment="1">
      <alignment vertical="top"/>
    </xf>
    <xf numFmtId="0" fontId="13" fillId="0" borderId="0" xfId="12" applyFont="1" applyAlignment="1">
      <alignment vertical="center"/>
    </xf>
    <xf numFmtId="9" fontId="30" fillId="0" borderId="44" xfId="9" applyFont="1" applyFill="1" applyBorder="1" applyAlignment="1">
      <alignment horizontal="center"/>
    </xf>
    <xf numFmtId="0" fontId="22" fillId="0" borderId="46" xfId="10" applyFont="1" applyBorder="1" applyAlignment="1"/>
    <xf numFmtId="0" fontId="56" fillId="28" borderId="46" xfId="10" applyFont="1" applyFill="1" applyBorder="1" applyAlignment="1">
      <alignment horizontal="center" vertical="center"/>
    </xf>
    <xf numFmtId="43" fontId="28" fillId="0" borderId="0" xfId="11" applyFont="1" applyFill="1" applyBorder="1" applyAlignment="1">
      <alignment horizontal="center" vertical="center" wrapText="1"/>
    </xf>
    <xf numFmtId="164" fontId="57" fillId="0" borderId="46" xfId="10" applyNumberFormat="1" applyFont="1" applyBorder="1" applyAlignment="1"/>
    <xf numFmtId="49" fontId="58" fillId="0" borderId="46" xfId="10" applyNumberFormat="1" applyFont="1" applyBorder="1" applyAlignment="1"/>
    <xf numFmtId="0" fontId="57" fillId="0" borderId="46" xfId="10" applyFont="1" applyBorder="1" applyAlignment="1"/>
    <xf numFmtId="164" fontId="58" fillId="0" borderId="46" xfId="10" applyNumberFormat="1" applyFont="1" applyBorder="1" applyAlignment="1"/>
    <xf numFmtId="0" fontId="22" fillId="23" borderId="46" xfId="10" applyFont="1" applyFill="1" applyBorder="1" applyAlignment="1">
      <alignment vertical="center"/>
    </xf>
    <xf numFmtId="0" fontId="22" fillId="23" borderId="46" xfId="10" applyFont="1" applyFill="1" applyBorder="1" applyAlignment="1">
      <alignment horizontal="center" vertical="center"/>
    </xf>
    <xf numFmtId="0" fontId="22" fillId="29"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0" fontId="37" fillId="11" borderId="0" xfId="10" applyFont="1" applyFill="1" applyAlignment="1">
      <alignment horizontal="left"/>
    </xf>
    <xf numFmtId="0" fontId="37" fillId="11" borderId="0" xfId="10" applyFont="1" applyFill="1"/>
    <xf numFmtId="43" fontId="37" fillId="11" borderId="0" xfId="11" applyFont="1" applyFill="1"/>
    <xf numFmtId="43" fontId="49" fillId="11" borderId="0" xfId="11" applyFont="1" applyFill="1" applyAlignment="1">
      <alignment horizontal="right"/>
    </xf>
    <xf numFmtId="43" fontId="28" fillId="11" borderId="0" xfId="11" applyFont="1" applyFill="1" applyAlignment="1"/>
    <xf numFmtId="0" fontId="28" fillId="11" borderId="0" xfId="10" applyFont="1" applyFill="1" applyAlignment="1"/>
    <xf numFmtId="0" fontId="13" fillId="11" borderId="0" xfId="12" applyFont="1" applyFill="1"/>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6" xfId="12" applyFont="1" applyFill="1" applyBorder="1"/>
    <xf numFmtId="9" fontId="30" fillId="11" borderId="46" xfId="9" applyFont="1" applyFill="1" applyBorder="1" applyAlignment="1">
      <alignment horizontal="center"/>
    </xf>
    <xf numFmtId="164" fontId="26" fillId="11" borderId="0" xfId="10" applyNumberFormat="1" applyFont="1" applyFill="1" applyAlignment="1"/>
    <xf numFmtId="0" fontId="22" fillId="31"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6"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5"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4" xfId="1" applyFont="1" applyFill="1" applyBorder="1" applyAlignment="1">
      <alignment horizontal="center"/>
    </xf>
    <xf numFmtId="43" fontId="45" fillId="0" borderId="66" xfId="1" applyFont="1" applyFill="1" applyBorder="1" applyAlignment="1">
      <alignment horizontal="center"/>
    </xf>
    <xf numFmtId="43" fontId="46" fillId="0" borderId="74" xfId="1" applyFont="1" applyFill="1" applyBorder="1" applyAlignment="1" applyProtection="1">
      <alignment vertical="center" shrinkToFit="1"/>
      <protection locked="0"/>
    </xf>
    <xf numFmtId="43" fontId="46" fillId="0" borderId="26" xfId="1" applyFont="1" applyFill="1" applyBorder="1" applyAlignment="1" applyProtection="1">
      <alignment horizontal="center" vertical="center" shrinkToFit="1"/>
      <protection locked="0"/>
    </xf>
    <xf numFmtId="43" fontId="46" fillId="0" borderId="26" xfId="1" applyFont="1" applyFill="1" applyBorder="1" applyAlignment="1" applyProtection="1">
      <alignment horizontal="left" vertical="center" shrinkToFit="1"/>
      <protection locked="0"/>
    </xf>
    <xf numFmtId="43" fontId="46" fillId="32" borderId="62" xfId="1" applyFont="1" applyFill="1" applyBorder="1" applyAlignment="1" applyProtection="1">
      <alignment horizontal="center" vertical="center" shrinkToFit="1"/>
      <protection locked="0"/>
    </xf>
    <xf numFmtId="43" fontId="46" fillId="32" borderId="72" xfId="1" applyFont="1" applyFill="1" applyBorder="1" applyAlignment="1" applyProtection="1">
      <alignment vertical="center" shrinkToFit="1"/>
      <protection locked="0"/>
    </xf>
    <xf numFmtId="17" fontId="0" fillId="0" borderId="46" xfId="0" applyNumberFormat="1" applyBorder="1"/>
    <xf numFmtId="10" fontId="0" fillId="0" borderId="46" xfId="0" applyNumberFormat="1" applyBorder="1"/>
    <xf numFmtId="0" fontId="60" fillId="34" borderId="46" xfId="0" applyFont="1" applyFill="1" applyBorder="1" applyAlignment="1">
      <alignment vertical="top"/>
    </xf>
    <xf numFmtId="0" fontId="60" fillId="34" borderId="46" xfId="0" applyFont="1" applyFill="1" applyBorder="1" applyAlignment="1">
      <alignment vertical="center"/>
    </xf>
    <xf numFmtId="43" fontId="54" fillId="31" borderId="73" xfId="1" applyFont="1" applyFill="1" applyBorder="1" applyAlignment="1" applyProtection="1">
      <alignment vertical="center" shrinkToFit="1"/>
      <protection locked="0"/>
    </xf>
    <xf numFmtId="43" fontId="54" fillId="31" borderId="75" xfId="1" applyFont="1" applyFill="1" applyBorder="1" applyAlignment="1" applyProtection="1">
      <alignment vertical="center" shrinkToFit="1"/>
      <protection locked="0"/>
    </xf>
    <xf numFmtId="43" fontId="54" fillId="31" borderId="60" xfId="1" applyFont="1" applyFill="1" applyBorder="1" applyAlignment="1" applyProtection="1">
      <alignment horizontal="left" vertical="center" shrinkToFit="1"/>
      <protection locked="0"/>
    </xf>
    <xf numFmtId="43" fontId="6" fillId="31" borderId="71" xfId="1" applyFont="1" applyFill="1" applyBorder="1" applyAlignment="1" applyProtection="1">
      <alignment horizontal="center"/>
      <protection locked="0"/>
    </xf>
    <xf numFmtId="43" fontId="54" fillId="0" borderId="64" xfId="1" applyFont="1" applyFill="1" applyBorder="1" applyAlignment="1" applyProtection="1">
      <alignment vertical="center" shrinkToFit="1"/>
      <protection locked="0"/>
    </xf>
    <xf numFmtId="43" fontId="54" fillId="0" borderId="64" xfId="1" applyFont="1" applyFill="1" applyBorder="1" applyAlignment="1" applyProtection="1">
      <alignment vertical="center"/>
      <protection locked="0"/>
    </xf>
    <xf numFmtId="43" fontId="54" fillId="0" borderId="79" xfId="1" applyFont="1" applyFill="1" applyBorder="1" applyAlignment="1" applyProtection="1">
      <alignment horizontal="left" vertical="center" shrinkToFit="1"/>
      <protection locked="0"/>
    </xf>
    <xf numFmtId="1" fontId="62" fillId="0" borderId="66" xfId="1" applyNumberFormat="1" applyFont="1" applyFill="1" applyBorder="1" applyAlignment="1" applyProtection="1">
      <alignment horizontal="left" vertical="center" shrinkToFit="1"/>
      <protection locked="0"/>
    </xf>
    <xf numFmtId="1" fontId="62" fillId="0" borderId="4" xfId="1" applyNumberFormat="1" applyFont="1" applyFill="1" applyBorder="1" applyAlignment="1" applyProtection="1">
      <alignment horizontal="center" vertical="center" shrinkToFit="1"/>
      <protection locked="0"/>
    </xf>
    <xf numFmtId="43" fontId="62" fillId="0" borderId="65" xfId="1" applyFont="1" applyFill="1" applyBorder="1" applyAlignment="1">
      <alignment horizontal="center"/>
    </xf>
    <xf numFmtId="43" fontId="62" fillId="0" borderId="3" xfId="1" applyFont="1" applyFill="1" applyBorder="1" applyAlignment="1" applyProtection="1">
      <alignment horizontal="center" vertical="center" shrinkToFit="1"/>
      <protection locked="0"/>
    </xf>
    <xf numFmtId="43" fontId="62" fillId="0" borderId="0" xfId="1" applyFont="1" applyAlignment="1" applyProtection="1">
      <alignment horizontal="center"/>
      <protection locked="0"/>
    </xf>
    <xf numFmtId="43" fontId="62" fillId="0" borderId="66" xfId="1" applyFont="1" applyFill="1" applyBorder="1" applyAlignment="1">
      <alignment horizontal="center"/>
    </xf>
    <xf numFmtId="43" fontId="62" fillId="0" borderId="4" xfId="1" applyFont="1" applyFill="1" applyBorder="1" applyAlignment="1" applyProtection="1">
      <alignment horizontal="center" vertical="center" shrinkToFit="1"/>
      <protection locked="0"/>
    </xf>
    <xf numFmtId="43" fontId="61" fillId="0" borderId="0" xfId="1" applyFont="1" applyProtection="1">
      <protection locked="0"/>
    </xf>
    <xf numFmtId="43" fontId="63" fillId="33" borderId="77" xfId="1" applyFont="1" applyFill="1" applyBorder="1" applyAlignment="1" applyProtection="1">
      <alignment horizontal="center" vertical="top" wrapText="1"/>
      <protection locked="0"/>
    </xf>
    <xf numFmtId="43" fontId="63" fillId="33" borderId="60" xfId="1" applyFont="1" applyFill="1" applyBorder="1" applyAlignment="1" applyProtection="1">
      <alignment horizontal="center" vertical="top" wrapText="1"/>
      <protection locked="0"/>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59" fillId="11" borderId="0" xfId="1" applyNumberFormat="1" applyFont="1" applyFill="1" applyAlignment="1" applyProtection="1">
      <alignment horizontal="center"/>
      <protection locked="0"/>
    </xf>
    <xf numFmtId="0" fontId="30" fillId="0" borderId="80" xfId="10" applyFont="1" applyBorder="1" applyAlignment="1">
      <alignment horizontal="left"/>
    </xf>
    <xf numFmtId="0" fontId="30" fillId="5" borderId="24" xfId="10" applyFont="1" applyFill="1" applyBorder="1" applyAlignment="1">
      <alignment horizontal="center"/>
    </xf>
    <xf numFmtId="0" fontId="30" fillId="0" borderId="80" xfId="11" applyNumberFormat="1" applyFont="1" applyBorder="1" applyAlignment="1">
      <alignment horizontal="center"/>
    </xf>
    <xf numFmtId="43" fontId="30" fillId="0" borderId="80" xfId="11" applyFont="1" applyBorder="1" applyAlignment="1"/>
    <xf numFmtId="43" fontId="31" fillId="8" borderId="80" xfId="11" applyFont="1" applyFill="1" applyBorder="1" applyAlignment="1"/>
    <xf numFmtId="43" fontId="30" fillId="5" borderId="83" xfId="11" applyFont="1" applyFill="1" applyBorder="1" applyAlignment="1"/>
    <xf numFmtId="0" fontId="30" fillId="0" borderId="46" xfId="11" applyNumberFormat="1" applyFont="1" applyBorder="1" applyAlignment="1">
      <alignment horizontal="center"/>
    </xf>
    <xf numFmtId="43" fontId="30" fillId="0" borderId="46" xfId="11" applyFont="1" applyBorder="1" applyAlignment="1"/>
    <xf numFmtId="43" fontId="31" fillId="8" borderId="46" xfId="11" applyFont="1" applyFill="1" applyBorder="1" applyAlignment="1"/>
    <xf numFmtId="43" fontId="30" fillId="0" borderId="84" xfId="11" applyFont="1" applyFill="1" applyBorder="1" applyAlignment="1"/>
    <xf numFmtId="43" fontId="30" fillId="5" borderId="84" xfId="11" applyFont="1" applyFill="1" applyBorder="1" applyAlignment="1"/>
    <xf numFmtId="0" fontId="28" fillId="26" borderId="87" xfId="10" applyFont="1" applyFill="1" applyBorder="1" applyAlignment="1">
      <alignment horizontal="center" vertical="center"/>
    </xf>
    <xf numFmtId="43" fontId="29" fillId="26" borderId="87" xfId="11" applyFont="1" applyFill="1" applyBorder="1" applyAlignment="1">
      <alignment horizontal="center" vertical="center" wrapText="1"/>
    </xf>
    <xf numFmtId="43" fontId="29" fillId="26" borderId="87" xfId="11" applyFont="1" applyFill="1" applyBorder="1" applyAlignment="1">
      <alignment horizontal="center" vertical="center"/>
    </xf>
    <xf numFmtId="43" fontId="28" fillId="26" borderId="88" xfId="11" applyFont="1" applyFill="1" applyBorder="1" applyAlignment="1">
      <alignment horizontal="center" vertical="center" wrapText="1"/>
    </xf>
    <xf numFmtId="0" fontId="27" fillId="5" borderId="22" xfId="10" applyFont="1" applyFill="1" applyBorder="1" applyAlignment="1">
      <alignment horizontal="center"/>
    </xf>
    <xf numFmtId="0" fontId="30" fillId="11" borderId="24" xfId="10" applyFont="1" applyFill="1" applyBorder="1" applyAlignment="1">
      <alignment vertical="top"/>
    </xf>
    <xf numFmtId="0" fontId="31" fillId="5" borderId="80" xfId="11" applyNumberFormat="1" applyFont="1" applyFill="1" applyBorder="1" applyAlignment="1">
      <alignment horizontal="center"/>
    </xf>
    <xf numFmtId="43" fontId="31" fillId="5" borderId="80" xfId="11" applyFont="1" applyFill="1" applyBorder="1" applyAlignment="1"/>
    <xf numFmtId="0" fontId="27" fillId="5" borderId="26" xfId="10" applyFont="1" applyFill="1" applyBorder="1" applyAlignment="1">
      <alignment horizontal="center"/>
    </xf>
    <xf numFmtId="0" fontId="31" fillId="5" borderId="46" xfId="11" applyNumberFormat="1" applyFont="1" applyFill="1" applyBorder="1" applyAlignment="1">
      <alignment horizontal="center"/>
    </xf>
    <xf numFmtId="43" fontId="31" fillId="5" borderId="46" xfId="11" applyFont="1" applyFill="1" applyBorder="1" applyAlignment="1"/>
    <xf numFmtId="0" fontId="33" fillId="6" borderId="89" xfId="10" applyFont="1" applyFill="1" applyBorder="1" applyAlignment="1"/>
    <xf numFmtId="0" fontId="34" fillId="6" borderId="90" xfId="10" applyFont="1" applyFill="1" applyBorder="1" applyAlignment="1">
      <alignment horizontal="center"/>
    </xf>
    <xf numFmtId="0" fontId="35" fillId="6" borderId="90" xfId="11" applyNumberFormat="1" applyFont="1" applyFill="1" applyBorder="1" applyAlignment="1">
      <alignment horizontal="center"/>
    </xf>
    <xf numFmtId="43" fontId="35" fillId="6" borderId="91" xfId="11" applyFont="1" applyFill="1" applyBorder="1" applyAlignment="1"/>
    <xf numFmtId="43" fontId="34" fillId="10" borderId="92" xfId="11" applyFont="1" applyFill="1" applyBorder="1" applyAlignment="1"/>
    <xf numFmtId="43" fontId="13" fillId="0" borderId="80" xfId="11" applyFont="1" applyBorder="1" applyAlignment="1"/>
    <xf numFmtId="43" fontId="28" fillId="30" borderId="0" xfId="11" applyFont="1" applyFill="1" applyBorder="1" applyAlignment="1">
      <alignment horizontal="left"/>
    </xf>
    <xf numFmtId="0" fontId="30" fillId="0" borderId="22" xfId="12" applyFont="1" applyBorder="1" applyAlignment="1">
      <alignment horizontal="left"/>
    </xf>
    <xf numFmtId="9" fontId="30" fillId="0" borderId="97" xfId="9" applyFont="1" applyBorder="1" applyAlignment="1">
      <alignment horizontal="center"/>
    </xf>
    <xf numFmtId="0" fontId="32" fillId="0" borderId="80" xfId="12" applyFont="1" applyBorder="1"/>
    <xf numFmtId="43" fontId="13" fillId="0" borderId="80" xfId="9" applyNumberFormat="1" applyFont="1" applyBorder="1" applyAlignment="1">
      <alignment horizontal="center"/>
    </xf>
    <xf numFmtId="43" fontId="13" fillId="0" borderId="80" xfId="11" applyFont="1" applyFill="1" applyBorder="1" applyAlignment="1"/>
    <xf numFmtId="164" fontId="13" fillId="0" borderId="80" xfId="12" applyNumberFormat="1" applyFont="1" applyBorder="1" applyAlignment="1">
      <alignment horizontal="center"/>
    </xf>
    <xf numFmtId="43" fontId="13" fillId="18" borderId="80" xfId="1" applyFont="1" applyFill="1" applyBorder="1" applyAlignment="1"/>
    <xf numFmtId="0" fontId="13" fillId="0" borderId="80" xfId="12" applyFont="1" applyBorder="1" applyAlignment="1">
      <alignment horizontal="center"/>
    </xf>
    <xf numFmtId="9" fontId="13" fillId="0" borderId="83" xfId="9" applyFont="1" applyBorder="1" applyAlignment="1">
      <alignment horizontal="center"/>
    </xf>
    <xf numFmtId="0" fontId="30" fillId="0" borderId="26" xfId="12" applyFont="1" applyBorder="1" applyAlignment="1">
      <alignment horizontal="left"/>
    </xf>
    <xf numFmtId="43" fontId="13" fillId="18" borderId="46" xfId="1" applyFont="1" applyFill="1" applyBorder="1" applyAlignment="1"/>
    <xf numFmtId="9" fontId="13" fillId="0" borderId="84" xfId="9" applyFont="1" applyBorder="1" applyAlignment="1">
      <alignment horizontal="center"/>
    </xf>
    <xf numFmtId="9" fontId="13" fillId="0" borderId="84" xfId="9" applyFont="1" applyFill="1" applyBorder="1" applyAlignment="1">
      <alignment horizontal="center"/>
    </xf>
    <xf numFmtId="0" fontId="30" fillId="0" borderId="99" xfId="12" applyFont="1" applyBorder="1" applyAlignment="1">
      <alignment horizontal="left"/>
    </xf>
    <xf numFmtId="9" fontId="30" fillId="0" borderId="80" xfId="9" applyFont="1" applyBorder="1" applyAlignment="1">
      <alignment horizontal="center"/>
    </xf>
    <xf numFmtId="43" fontId="13" fillId="0" borderId="80" xfId="12" applyNumberFormat="1" applyFont="1" applyBorder="1" applyAlignment="1">
      <alignment horizontal="center"/>
    </xf>
    <xf numFmtId="0" fontId="13" fillId="0" borderId="83" xfId="12" applyFont="1" applyBorder="1" applyAlignment="1">
      <alignment horizontal="center"/>
    </xf>
    <xf numFmtId="0" fontId="30" fillId="0" borderId="100" xfId="12" applyFont="1" applyBorder="1" applyAlignment="1">
      <alignment horizontal="left"/>
    </xf>
    <xf numFmtId="0" fontId="13" fillId="0" borderId="84" xfId="12" applyFont="1" applyBorder="1" applyAlignment="1">
      <alignment horizontal="center"/>
    </xf>
    <xf numFmtId="43" fontId="22" fillId="11" borderId="101" xfId="11" applyFont="1" applyFill="1" applyBorder="1" applyAlignment="1"/>
    <xf numFmtId="9" fontId="30" fillId="11" borderId="80" xfId="9" applyFont="1" applyFill="1" applyBorder="1" applyAlignment="1">
      <alignment horizontal="center"/>
    </xf>
    <xf numFmtId="0" fontId="30" fillId="11" borderId="80" xfId="12" applyFont="1" applyFill="1" applyBorder="1"/>
    <xf numFmtId="43" fontId="30" fillId="11" borderId="80" xfId="11" applyFont="1" applyFill="1" applyBorder="1" applyAlignment="1"/>
    <xf numFmtId="43" fontId="30" fillId="11" borderId="83" xfId="11" applyFont="1" applyFill="1" applyBorder="1" applyAlignment="1"/>
    <xf numFmtId="0" fontId="30" fillId="11" borderId="100" xfId="12" applyFont="1" applyFill="1" applyBorder="1" applyAlignment="1">
      <alignment horizontal="left"/>
    </xf>
    <xf numFmtId="43" fontId="30" fillId="11" borderId="46" xfId="11" applyFont="1" applyFill="1" applyBorder="1" applyAlignment="1"/>
    <xf numFmtId="43" fontId="30" fillId="11" borderId="84" xfId="11" applyFont="1" applyFill="1" applyBorder="1" applyAlignment="1"/>
    <xf numFmtId="0" fontId="30" fillId="11" borderId="96" xfId="12" applyFont="1" applyFill="1" applyBorder="1" applyAlignment="1">
      <alignment horizontal="left"/>
    </xf>
    <xf numFmtId="9" fontId="30" fillId="11" borderId="85" xfId="9" applyFont="1" applyFill="1" applyBorder="1" applyAlignment="1">
      <alignment horizontal="center"/>
    </xf>
    <xf numFmtId="0" fontId="30" fillId="11" borderId="85" xfId="12" applyFont="1" applyFill="1" applyBorder="1"/>
    <xf numFmtId="43" fontId="30" fillId="11" borderId="85" xfId="11" applyFont="1" applyFill="1" applyBorder="1" applyAlignment="1"/>
    <xf numFmtId="43" fontId="30" fillId="11" borderId="86" xfId="11" applyFont="1" applyFill="1" applyBorder="1" applyAlignment="1"/>
    <xf numFmtId="9" fontId="30" fillId="11" borderId="44" xfId="9" applyFont="1" applyFill="1" applyBorder="1" applyAlignment="1">
      <alignment horizontal="center"/>
    </xf>
    <xf numFmtId="0" fontId="30" fillId="11" borderId="102" xfId="12" applyFont="1" applyFill="1" applyBorder="1" applyAlignment="1">
      <alignment horizontal="left"/>
    </xf>
    <xf numFmtId="9" fontId="30" fillId="11" borderId="20" xfId="9" applyFont="1" applyFill="1" applyBorder="1" applyAlignment="1">
      <alignment horizontal="center"/>
    </xf>
    <xf numFmtId="0" fontId="30" fillId="11" borderId="20" xfId="12" applyFont="1" applyFill="1" applyBorder="1"/>
    <xf numFmtId="43" fontId="30" fillId="11" borderId="20" xfId="11" applyFont="1" applyFill="1" applyBorder="1" applyAlignment="1"/>
    <xf numFmtId="43" fontId="30" fillId="11" borderId="103" xfId="11" applyFont="1" applyFill="1" applyBorder="1" applyAlignment="1"/>
    <xf numFmtId="0" fontId="30" fillId="11" borderId="22" xfId="12" applyFont="1" applyFill="1" applyBorder="1" applyAlignment="1">
      <alignment horizontal="left"/>
    </xf>
    <xf numFmtId="9" fontId="30" fillId="11" borderId="97" xfId="9" applyFont="1" applyFill="1" applyBorder="1" applyAlignment="1">
      <alignment horizontal="center"/>
    </xf>
    <xf numFmtId="0" fontId="30" fillId="11" borderId="26" xfId="12" applyFont="1" applyFill="1" applyBorder="1" applyAlignment="1">
      <alignment horizontal="left"/>
    </xf>
    <xf numFmtId="0" fontId="30" fillId="11" borderId="30" xfId="12" applyFont="1" applyFill="1" applyBorder="1" applyAlignment="1">
      <alignment horizontal="left"/>
    </xf>
    <xf numFmtId="9" fontId="30" fillId="11" borderId="98" xfId="9" applyFont="1" applyFill="1" applyBorder="1" applyAlignment="1">
      <alignment horizontal="center"/>
    </xf>
    <xf numFmtId="0" fontId="37" fillId="31" borderId="104" xfId="12" applyFont="1" applyFill="1" applyBorder="1"/>
    <xf numFmtId="0" fontId="37" fillId="31" borderId="105" xfId="12" applyFont="1" applyFill="1" applyBorder="1"/>
    <xf numFmtId="0" fontId="37" fillId="31" borderId="106" xfId="12" applyFont="1" applyFill="1" applyBorder="1"/>
    <xf numFmtId="0" fontId="28" fillId="31" borderId="96" xfId="12" applyFont="1" applyFill="1" applyBorder="1" applyAlignment="1">
      <alignment horizontal="center"/>
    </xf>
    <xf numFmtId="0" fontId="28" fillId="31" borderId="85" xfId="12" applyFont="1" applyFill="1" applyBorder="1" applyAlignment="1">
      <alignment horizontal="center"/>
    </xf>
    <xf numFmtId="43" fontId="28" fillId="31" borderId="85" xfId="11" applyFont="1" applyFill="1" applyBorder="1" applyAlignment="1">
      <alignment horizontal="center"/>
    </xf>
    <xf numFmtId="43" fontId="28" fillId="31" borderId="86" xfId="11" applyFont="1" applyFill="1" applyBorder="1" applyAlignment="1">
      <alignment horizontal="center"/>
    </xf>
    <xf numFmtId="0" fontId="64" fillId="11" borderId="0" xfId="3" applyFont="1" applyFill="1" applyBorder="1" applyAlignment="1" applyProtection="1">
      <alignment horizontal="centerContinuous"/>
      <protection locked="0"/>
    </xf>
    <xf numFmtId="43" fontId="64" fillId="11" borderId="0" xfId="1" applyFont="1" applyFill="1" applyBorder="1" applyAlignment="1" applyProtection="1">
      <alignment horizontal="centerContinuous"/>
      <protection locked="0"/>
    </xf>
    <xf numFmtId="0" fontId="64" fillId="11" borderId="0" xfId="1" applyNumberFormat="1" applyFont="1" applyFill="1" applyBorder="1" applyAlignment="1" applyProtection="1">
      <alignment horizontal="center"/>
      <protection locked="0"/>
    </xf>
    <xf numFmtId="0" fontId="66" fillId="0" borderId="0" xfId="0" applyFont="1" applyProtection="1">
      <protection locked="0"/>
    </xf>
    <xf numFmtId="0" fontId="67" fillId="11" borderId="0" xfId="4" applyFont="1" applyFill="1" applyAlignment="1" applyProtection="1">
      <alignment horizontal="centerContinuous" vertical="center"/>
      <protection locked="0"/>
    </xf>
    <xf numFmtId="0" fontId="67" fillId="11" borderId="0" xfId="4" applyNumberFormat="1" applyFont="1" applyFill="1" applyAlignment="1" applyProtection="1">
      <alignment horizontal="centerContinuous" vertical="center"/>
      <protection locked="0"/>
    </xf>
    <xf numFmtId="1" fontId="67"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Continuous" vertical="center"/>
      <protection locked="0"/>
    </xf>
    <xf numFmtId="43" fontId="67" fillId="11" borderId="0" xfId="1" applyFont="1" applyFill="1" applyAlignment="1" applyProtection="1">
      <alignment horizontal="centerContinuous" vertical="center"/>
      <protection locked="0"/>
    </xf>
    <xf numFmtId="1" fontId="65"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 vertical="center"/>
      <protection locked="0"/>
    </xf>
    <xf numFmtId="0" fontId="67" fillId="11" borderId="0" xfId="0" applyFont="1" applyFill="1" applyProtection="1">
      <protection locked="0"/>
    </xf>
    <xf numFmtId="0" fontId="67" fillId="11" borderId="0" xfId="0" applyFont="1" applyFill="1" applyAlignment="1" applyProtection="1">
      <alignment horizontal="center"/>
      <protection locked="0"/>
    </xf>
    <xf numFmtId="1" fontId="67" fillId="11" borderId="0" xfId="1" applyNumberFormat="1" applyFont="1" applyFill="1" applyAlignment="1" applyProtection="1">
      <alignment horizontal="center"/>
      <protection locked="0"/>
    </xf>
    <xf numFmtId="0" fontId="67" fillId="11" borderId="0" xfId="1" applyNumberFormat="1" applyFont="1" applyFill="1" applyAlignment="1" applyProtection="1">
      <alignment horizontal="center"/>
      <protection locked="0"/>
    </xf>
    <xf numFmtId="43" fontId="67" fillId="11" borderId="0" xfId="1" applyFont="1" applyFill="1" applyAlignment="1" applyProtection="1">
      <alignment horizontal="center"/>
      <protection locked="0"/>
    </xf>
    <xf numFmtId="1" fontId="65" fillId="11" borderId="0" xfId="1" applyNumberFormat="1" applyFont="1" applyFill="1" applyAlignment="1" applyProtection="1">
      <alignment horizontal="center"/>
      <protection locked="0"/>
    </xf>
    <xf numFmtId="4" fontId="67" fillId="0" borderId="0" xfId="1" applyNumberFormat="1" applyFont="1" applyProtection="1">
      <protection locked="0"/>
    </xf>
    <xf numFmtId="0" fontId="66" fillId="0" borderId="0" xfId="1" applyNumberFormat="1" applyFont="1" applyAlignment="1" applyProtection="1">
      <alignment horizontal="center"/>
      <protection locked="0"/>
    </xf>
    <xf numFmtId="4" fontId="66" fillId="0" borderId="0" xfId="1" applyNumberFormat="1" applyFont="1" applyAlignment="1" applyProtection="1">
      <alignment horizontal="center"/>
      <protection locked="0"/>
    </xf>
    <xf numFmtId="0" fontId="67" fillId="11" borderId="0" xfId="0" applyFont="1" applyFill="1" applyAlignment="1" applyProtection="1">
      <alignment horizontal="left"/>
      <protection locked="0"/>
    </xf>
    <xf numFmtId="43" fontId="66" fillId="11" borderId="0" xfId="1" applyFont="1" applyFill="1" applyAlignment="1" applyProtection="1">
      <alignment horizontal="center"/>
      <protection locked="0"/>
    </xf>
    <xf numFmtId="9" fontId="66" fillId="11" borderId="0" xfId="1" applyNumberFormat="1" applyFont="1" applyFill="1" applyAlignment="1" applyProtection="1">
      <alignment horizontal="center"/>
      <protection locked="0"/>
    </xf>
    <xf numFmtId="9" fontId="67" fillId="11" borderId="0" xfId="1" applyNumberFormat="1" applyFont="1" applyFill="1" applyAlignment="1" applyProtection="1">
      <alignment horizontal="center"/>
      <protection locked="0"/>
    </xf>
    <xf numFmtId="43" fontId="69" fillId="33" borderId="80" xfId="1" applyFont="1" applyFill="1" applyBorder="1" applyAlignment="1" applyProtection="1">
      <alignment horizontal="center" vertical="top" wrapText="1"/>
      <protection locked="0"/>
    </xf>
    <xf numFmtId="4" fontId="71" fillId="12" borderId="4" xfId="8" applyNumberFormat="1" applyFont="1" applyFill="1" applyBorder="1" applyAlignment="1" applyProtection="1">
      <alignment horizontal="center" vertical="center" wrapText="1"/>
      <protection locked="0"/>
    </xf>
    <xf numFmtId="4" fontId="68" fillId="13" borderId="3" xfId="8" applyNumberFormat="1" applyFont="1" applyFill="1" applyBorder="1" applyAlignment="1" applyProtection="1">
      <alignment horizontal="center" vertical="center" wrapText="1"/>
      <protection hidden="1"/>
    </xf>
    <xf numFmtId="0" fontId="70" fillId="4" borderId="4" xfId="8" applyFont="1" applyBorder="1" applyAlignment="1" applyProtection="1">
      <alignment horizontal="center" vertical="center" wrapText="1"/>
      <protection locked="0"/>
    </xf>
    <xf numFmtId="0" fontId="73" fillId="21" borderId="21" xfId="0" applyFont="1" applyFill="1" applyBorder="1" applyAlignment="1">
      <alignment horizontal="center" vertical="center" wrapText="1"/>
    </xf>
    <xf numFmtId="0" fontId="66" fillId="0" borderId="0" xfId="0" applyFont="1" applyAlignment="1" applyProtection="1">
      <alignment horizontal="center" vertical="center" wrapText="1"/>
      <protection locked="0"/>
    </xf>
    <xf numFmtId="43" fontId="71" fillId="32" borderId="63" xfId="1" applyFont="1" applyFill="1" applyBorder="1" applyAlignment="1" applyProtection="1">
      <alignment horizontal="center" vertical="center" shrinkToFit="1"/>
      <protection locked="0"/>
    </xf>
    <xf numFmtId="43" fontId="72" fillId="31" borderId="63" xfId="1" applyFont="1" applyFill="1" applyBorder="1" applyAlignment="1" applyProtection="1">
      <alignment vertical="center" shrinkToFit="1"/>
      <protection locked="0"/>
    </xf>
    <xf numFmtId="43" fontId="71" fillId="24" borderId="63" xfId="1" applyFont="1" applyFill="1" applyBorder="1" applyAlignment="1" applyProtection="1">
      <alignment vertical="center"/>
      <protection locked="0"/>
    </xf>
    <xf numFmtId="43" fontId="67" fillId="23" borderId="62" xfId="1" applyFont="1" applyFill="1" applyBorder="1" applyProtection="1">
      <protection hidden="1"/>
    </xf>
    <xf numFmtId="0" fontId="66" fillId="0" borderId="63" xfId="0" applyFont="1" applyBorder="1" applyAlignment="1" applyProtection="1">
      <alignment horizontal="center"/>
      <protection locked="0"/>
    </xf>
    <xf numFmtId="4" fontId="71" fillId="0" borderId="63" xfId="7" applyNumberFormat="1" applyFont="1" applyFill="1" applyBorder="1" applyAlignment="1" applyProtection="1">
      <alignment horizontal="center"/>
      <protection hidden="1"/>
    </xf>
    <xf numFmtId="0" fontId="75" fillId="0" borderId="65" xfId="6" applyFont="1" applyFill="1" applyBorder="1" applyAlignment="1" applyProtection="1">
      <alignment horizontal="center" vertical="center"/>
      <protection locked="0"/>
    </xf>
    <xf numFmtId="0" fontId="75" fillId="0" borderId="66" xfId="6" applyFont="1" applyFill="1" applyBorder="1" applyAlignment="1" applyProtection="1">
      <alignment horizontal="center" vertical="center"/>
      <protection locked="0"/>
    </xf>
    <xf numFmtId="43" fontId="71" fillId="0" borderId="66" xfId="1" applyFont="1" applyFill="1" applyBorder="1" applyAlignment="1" applyProtection="1">
      <alignment horizontal="center" vertical="center" shrinkToFit="1"/>
      <protection locked="0"/>
    </xf>
    <xf numFmtId="0" fontId="71" fillId="0" borderId="66" xfId="1" applyNumberFormat="1" applyFont="1" applyFill="1" applyBorder="1" applyAlignment="1" applyProtection="1">
      <alignment horizontal="center" vertical="center" shrinkToFit="1"/>
      <protection locked="0"/>
    </xf>
    <xf numFmtId="0" fontId="71" fillId="0" borderId="74" xfId="1" applyNumberFormat="1" applyFont="1" applyFill="1" applyBorder="1" applyAlignment="1" applyProtection="1">
      <alignment horizontal="center" vertical="center" shrinkToFit="1"/>
      <protection locked="0"/>
    </xf>
    <xf numFmtId="1" fontId="74" fillId="0" borderId="66" xfId="1" applyNumberFormat="1" applyFont="1" applyFill="1" applyBorder="1" applyAlignment="1" applyProtection="1">
      <alignment horizontal="left" vertical="center" shrinkToFit="1"/>
      <protection locked="0"/>
    </xf>
    <xf numFmtId="43" fontId="76" fillId="0" borderId="66" xfId="1" applyFont="1" applyFill="1" applyBorder="1" applyAlignment="1" applyProtection="1">
      <alignment horizontal="center" vertical="center" shrinkToFit="1"/>
      <protection locked="0"/>
    </xf>
    <xf numFmtId="43" fontId="76" fillId="31" borderId="66" xfId="1" applyFont="1" applyFill="1" applyBorder="1" applyAlignment="1" applyProtection="1">
      <alignment vertical="center" shrinkToFit="1"/>
      <protection locked="0"/>
    </xf>
    <xf numFmtId="0" fontId="76" fillId="0" borderId="82" xfId="1" applyNumberFormat="1" applyFont="1" applyFill="1" applyBorder="1" applyAlignment="1" applyProtection="1">
      <alignment horizontal="center" vertical="center" shrinkToFit="1"/>
      <protection locked="0"/>
    </xf>
    <xf numFmtId="43" fontId="72" fillId="23" borderId="65" xfId="1" applyFont="1" applyFill="1" applyBorder="1" applyProtection="1">
      <protection hidden="1"/>
    </xf>
    <xf numFmtId="0" fontId="66" fillId="0" borderId="66" xfId="0" applyFont="1" applyBorder="1" applyAlignment="1" applyProtection="1">
      <alignment horizontal="center"/>
      <protection locked="0"/>
    </xf>
    <xf numFmtId="4" fontId="71" fillId="0" borderId="66" xfId="7" applyNumberFormat="1" applyFont="1" applyFill="1" applyBorder="1" applyAlignment="1" applyProtection="1">
      <alignment horizontal="center"/>
      <protection hidden="1"/>
    </xf>
    <xf numFmtId="43" fontId="71" fillId="0" borderId="66" xfId="6" applyNumberFormat="1" applyFont="1" applyFill="1" applyBorder="1" applyAlignment="1" applyProtection="1">
      <alignment horizontal="center" vertical="center" shrinkToFit="1"/>
      <protection locked="0"/>
    </xf>
    <xf numFmtId="43" fontId="72" fillId="31" borderId="66" xfId="1" applyFont="1" applyFill="1" applyBorder="1" applyAlignment="1" applyProtection="1">
      <alignment vertical="center" shrinkToFit="1"/>
      <protection locked="0"/>
    </xf>
    <xf numFmtId="0" fontId="71" fillId="0" borderId="82" xfId="1" applyNumberFormat="1" applyFont="1" applyFill="1" applyBorder="1" applyAlignment="1" applyProtection="1">
      <alignment horizontal="center" vertical="center" shrinkToFit="1"/>
      <protection locked="0"/>
    </xf>
    <xf numFmtId="0" fontId="75" fillId="0" borderId="3" xfId="6" applyFont="1" applyFill="1" applyBorder="1" applyAlignment="1" applyProtection="1">
      <alignment horizontal="center" vertical="center"/>
      <protection locked="0"/>
    </xf>
    <xf numFmtId="43" fontId="66" fillId="0" borderId="4" xfId="1" applyFont="1" applyFill="1" applyBorder="1" applyAlignment="1" applyProtection="1">
      <alignment horizontal="center" shrinkToFit="1"/>
      <protection locked="0"/>
    </xf>
    <xf numFmtId="0" fontId="71" fillId="0" borderId="4" xfId="1" applyNumberFormat="1" applyFont="1" applyFill="1" applyBorder="1" applyAlignment="1" applyProtection="1">
      <alignment horizontal="center" vertical="center" shrinkToFit="1"/>
      <protection locked="0"/>
    </xf>
    <xf numFmtId="1" fontId="71" fillId="0" borderId="4" xfId="1" applyNumberFormat="1" applyFont="1" applyFill="1" applyBorder="1" applyAlignment="1" applyProtection="1">
      <alignment horizontal="center" vertical="center" shrinkToFit="1"/>
      <protection locked="0"/>
    </xf>
    <xf numFmtId="0" fontId="71" fillId="0" borderId="26" xfId="1" applyNumberFormat="1" applyFont="1" applyFill="1" applyBorder="1" applyAlignment="1" applyProtection="1">
      <alignment horizontal="center" vertical="center" shrinkToFit="1"/>
      <protection locked="0"/>
    </xf>
    <xf numFmtId="43" fontId="71" fillId="0" borderId="4" xfId="1" applyFont="1" applyFill="1" applyBorder="1" applyAlignment="1" applyProtection="1">
      <alignment horizontal="center" vertical="center" shrinkToFit="1"/>
      <protection locked="0"/>
    </xf>
    <xf numFmtId="1" fontId="74" fillId="0" borderId="4" xfId="1" applyNumberFormat="1" applyFont="1" applyFill="1" applyBorder="1" applyAlignment="1" applyProtection="1">
      <alignment horizontal="center" vertical="center" shrinkToFit="1"/>
      <protection locked="0"/>
    </xf>
    <xf numFmtId="43" fontId="72" fillId="31" borderId="4" xfId="1" applyFont="1" applyFill="1" applyBorder="1" applyAlignment="1" applyProtection="1">
      <alignment horizontal="left" vertical="center" shrinkToFit="1"/>
      <protection locked="0"/>
    </xf>
    <xf numFmtId="0" fontId="71" fillId="0" borderId="39" xfId="1" applyNumberFormat="1" applyFont="1" applyFill="1" applyBorder="1" applyAlignment="1" applyProtection="1">
      <alignment horizontal="center" vertical="center" shrinkToFit="1"/>
      <protection locked="0"/>
    </xf>
    <xf numFmtId="43" fontId="72" fillId="23" borderId="3" xfId="1" applyFont="1" applyFill="1" applyBorder="1" applyProtection="1">
      <protection hidden="1"/>
    </xf>
    <xf numFmtId="14" fontId="66" fillId="0" borderId="4" xfId="0" applyNumberFormat="1" applyFont="1" applyBorder="1" applyAlignment="1" applyProtection="1">
      <alignment horizontal="center"/>
      <protection locked="0"/>
    </xf>
    <xf numFmtId="4" fontId="71" fillId="0" borderId="4" xfId="7" applyNumberFormat="1" applyFont="1" applyFill="1" applyBorder="1" applyAlignment="1" applyProtection="1">
      <alignment horizontal="center"/>
      <protection hidden="1"/>
    </xf>
    <xf numFmtId="0" fontId="71" fillId="0" borderId="0" xfId="6" applyFont="1" applyBorder="1" applyAlignment="1" applyProtection="1">
      <alignment vertical="center"/>
      <protection locked="0"/>
    </xf>
    <xf numFmtId="1" fontId="71" fillId="0" borderId="66" xfId="1" applyNumberFormat="1" applyFont="1" applyFill="1" applyBorder="1" applyAlignment="1" applyProtection="1">
      <alignment horizontal="center" vertical="center" shrinkToFit="1"/>
      <protection locked="0"/>
    </xf>
    <xf numFmtId="43" fontId="67" fillId="31" borderId="71" xfId="1" applyFont="1" applyFill="1" applyBorder="1" applyAlignment="1" applyProtection="1">
      <alignment horizontal="center"/>
      <protection locked="0"/>
    </xf>
    <xf numFmtId="43" fontId="67" fillId="10" borderId="33" xfId="1" applyFont="1" applyFill="1" applyBorder="1" applyAlignment="1" applyProtection="1">
      <alignment horizontal="center"/>
      <protection locked="0"/>
    </xf>
    <xf numFmtId="0" fontId="67" fillId="0" borderId="0" xfId="0" applyFont="1" applyProtection="1">
      <protection locked="0"/>
    </xf>
    <xf numFmtId="0" fontId="66" fillId="0" borderId="0" xfId="0" applyFont="1" applyAlignment="1" applyProtection="1">
      <alignment horizontal="center"/>
      <protection locked="0"/>
    </xf>
    <xf numFmtId="1" fontId="66" fillId="0" borderId="0" xfId="1" applyNumberFormat="1" applyFont="1" applyAlignment="1" applyProtection="1">
      <alignment horizontal="center"/>
      <protection locked="0"/>
    </xf>
    <xf numFmtId="43" fontId="66" fillId="0" borderId="0" xfId="1" applyFont="1" applyAlignment="1" applyProtection="1">
      <alignment horizontal="center"/>
      <protection locked="0"/>
    </xf>
    <xf numFmtId="1" fontId="74" fillId="0" borderId="0" xfId="1" applyNumberFormat="1" applyFont="1" applyAlignment="1" applyProtection="1">
      <alignment horizontal="center"/>
      <protection locked="0"/>
    </xf>
    <xf numFmtId="43" fontId="67" fillId="0" borderId="0" xfId="1" applyFont="1" applyProtection="1">
      <protection locked="0"/>
    </xf>
    <xf numFmtId="0" fontId="67" fillId="0" borderId="0" xfId="1" applyNumberFormat="1" applyFont="1" applyAlignment="1" applyProtection="1">
      <alignment horizontal="center"/>
      <protection locked="0"/>
    </xf>
    <xf numFmtId="4" fontId="66" fillId="0" borderId="0" xfId="1" applyNumberFormat="1" applyFont="1" applyProtection="1">
      <protection locked="0"/>
    </xf>
    <xf numFmtId="4" fontId="64" fillId="0" borderId="0" xfId="1" applyNumberFormat="1" applyFont="1" applyProtection="1">
      <protection locked="0"/>
    </xf>
    <xf numFmtId="43" fontId="64" fillId="0" borderId="0" xfId="1" applyFont="1" applyProtection="1">
      <protection locked="0"/>
    </xf>
    <xf numFmtId="4" fontId="64" fillId="0" borderId="0" xfId="1" applyNumberFormat="1" applyFont="1" applyAlignment="1" applyProtection="1">
      <alignment horizontal="center"/>
      <protection locked="0"/>
    </xf>
    <xf numFmtId="0" fontId="66" fillId="0" borderId="0" xfId="0" applyFont="1"/>
    <xf numFmtId="43" fontId="66" fillId="0" borderId="0" xfId="0" applyNumberFormat="1" applyFont="1" applyAlignment="1" applyProtection="1">
      <alignment horizontal="center"/>
      <protection locked="0"/>
    </xf>
    <xf numFmtId="0" fontId="78" fillId="11" borderId="0" xfId="0" applyFont="1" applyFill="1" applyProtection="1">
      <protection locked="0"/>
    </xf>
    <xf numFmtId="43" fontId="61" fillId="11" borderId="0" xfId="1" applyFont="1" applyFill="1" applyBorder="1" applyAlignment="1" applyProtection="1">
      <alignment horizontal="centerContinuous"/>
      <protection locked="0"/>
    </xf>
    <xf numFmtId="43" fontId="61" fillId="11" borderId="0" xfId="1" applyFont="1" applyFill="1" applyAlignment="1" applyProtection="1">
      <alignment horizontal="centerContinuous" vertical="center"/>
      <protection locked="0"/>
    </xf>
    <xf numFmtId="43" fontId="71" fillId="0" borderId="66" xfId="1" applyFont="1" applyFill="1" applyBorder="1" applyAlignment="1" applyProtection="1">
      <alignment vertical="center"/>
      <protection locked="0"/>
    </xf>
    <xf numFmtId="43" fontId="71" fillId="0" borderId="4" xfId="1" applyFont="1" applyFill="1" applyBorder="1" applyAlignment="1" applyProtection="1">
      <alignment vertical="center"/>
      <protection locked="0"/>
    </xf>
    <xf numFmtId="1" fontId="70" fillId="25" borderId="23" xfId="1" applyNumberFormat="1" applyFont="1" applyFill="1" applyBorder="1" applyAlignment="1" applyProtection="1">
      <alignment horizontal="center" vertical="top" wrapText="1"/>
      <protection locked="0"/>
    </xf>
    <xf numFmtId="1" fontId="74" fillId="25" borderId="63" xfId="1" quotePrefix="1" applyNumberFormat="1" applyFont="1" applyFill="1" applyBorder="1" applyAlignment="1" applyProtection="1">
      <alignment horizontal="center" vertical="center" shrinkToFit="1"/>
      <protection locked="0"/>
    </xf>
    <xf numFmtId="43" fontId="74" fillId="25" borderId="63" xfId="1" applyFont="1" applyFill="1" applyBorder="1" applyAlignment="1" applyProtection="1">
      <alignment horizontal="center" vertical="center" shrinkToFit="1"/>
      <protection locked="0"/>
    </xf>
    <xf numFmtId="1" fontId="47" fillId="25" borderId="3" xfId="1" applyNumberFormat="1" applyFont="1" applyFill="1" applyBorder="1" applyAlignment="1" applyProtection="1">
      <alignment horizontal="center" vertical="top" wrapText="1"/>
      <protection locked="0"/>
    </xf>
    <xf numFmtId="1" fontId="62" fillId="25" borderId="63" xfId="1" quotePrefix="1" applyNumberFormat="1" applyFont="1" applyFill="1" applyBorder="1" applyAlignment="1" applyProtection="1">
      <alignment horizontal="center" vertical="center" shrinkToFit="1"/>
      <protection locked="0"/>
    </xf>
    <xf numFmtId="43" fontId="62" fillId="25" borderId="62" xfId="1" applyFont="1" applyFill="1" applyBorder="1" applyAlignment="1" applyProtection="1">
      <alignment horizontal="center" vertical="center" shrinkToFit="1"/>
      <protection locked="0"/>
    </xf>
    <xf numFmtId="0" fontId="64" fillId="11" borderId="0" xfId="3" applyFont="1" applyFill="1" applyBorder="1" applyAlignment="1" applyProtection="1">
      <alignment horizontal="center"/>
      <protection locked="0"/>
    </xf>
    <xf numFmtId="0" fontId="67" fillId="11" borderId="0" xfId="4" applyFont="1" applyFill="1" applyAlignment="1" applyProtection="1">
      <alignment horizontal="left" vertical="center"/>
      <protection locked="0"/>
    </xf>
    <xf numFmtId="0" fontId="67" fillId="11" borderId="0" xfId="4" applyFont="1" applyFill="1" applyAlignment="1" applyProtection="1">
      <alignment horizontal="center" vertical="center"/>
      <protection locked="0"/>
    </xf>
    <xf numFmtId="4" fontId="67" fillId="11" borderId="0" xfId="1" applyNumberFormat="1" applyFont="1" applyFill="1" applyProtection="1">
      <protection locked="0"/>
    </xf>
    <xf numFmtId="0" fontId="66" fillId="11" borderId="0" xfId="1" applyNumberFormat="1" applyFont="1" applyFill="1" applyAlignment="1" applyProtection="1">
      <alignment horizontal="center"/>
      <protection locked="0"/>
    </xf>
    <xf numFmtId="4" fontId="66" fillId="11" borderId="0" xfId="1" applyNumberFormat="1" applyFont="1" applyFill="1" applyAlignment="1" applyProtection="1">
      <alignment horizontal="center"/>
      <protection locked="0"/>
    </xf>
    <xf numFmtId="9" fontId="67" fillId="11" borderId="0" xfId="9" applyFont="1" applyFill="1" applyAlignment="1" applyProtection="1">
      <alignment horizontal="center"/>
      <protection locked="0"/>
    </xf>
    <xf numFmtId="0" fontId="66" fillId="11" borderId="0" xfId="1" applyNumberFormat="1" applyFont="1" applyFill="1" applyProtection="1">
      <protection locked="0"/>
    </xf>
    <xf numFmtId="9" fontId="6" fillId="11" borderId="0" xfId="1" applyNumberFormat="1" applyFont="1" applyFill="1" applyAlignment="1" applyProtection="1">
      <alignment horizontal="center"/>
      <protection locked="0"/>
    </xf>
    <xf numFmtId="0" fontId="67" fillId="31" borderId="33" xfId="0" applyFont="1" applyFill="1" applyBorder="1" applyProtection="1">
      <protection locked="0"/>
    </xf>
    <xf numFmtId="0" fontId="67" fillId="31" borderId="33" xfId="0" applyFont="1" applyFill="1" applyBorder="1" applyAlignment="1" applyProtection="1">
      <alignment horizontal="center"/>
      <protection locked="0"/>
    </xf>
    <xf numFmtId="1" fontId="67" fillId="31" borderId="33" xfId="1" applyNumberFormat="1" applyFont="1" applyFill="1" applyBorder="1" applyAlignment="1" applyProtection="1">
      <alignment horizontal="center"/>
      <protection locked="0"/>
    </xf>
    <xf numFmtId="1" fontId="65" fillId="31" borderId="71" xfId="1" applyNumberFormat="1" applyFont="1" applyFill="1" applyBorder="1" applyAlignment="1" applyProtection="1">
      <alignment horizontal="center"/>
      <protection locked="0"/>
    </xf>
    <xf numFmtId="43" fontId="65" fillId="31" borderId="71" xfId="1" applyFont="1" applyFill="1" applyBorder="1" applyAlignment="1" applyProtection="1">
      <alignment horizontal="center"/>
      <protection locked="0"/>
    </xf>
    <xf numFmtId="0" fontId="67" fillId="31" borderId="71" xfId="1" applyNumberFormat="1" applyFont="1" applyFill="1" applyBorder="1" applyAlignment="1" applyProtection="1">
      <alignment horizontal="center"/>
      <protection locked="0"/>
    </xf>
    <xf numFmtId="43" fontId="61" fillId="31" borderId="71" xfId="1" applyFont="1" applyFill="1" applyBorder="1" applyAlignment="1" applyProtection="1">
      <alignment horizontal="center"/>
      <protection locked="0"/>
    </xf>
    <xf numFmtId="43" fontId="72" fillId="31" borderId="73" xfId="1" applyFont="1" applyFill="1" applyBorder="1" applyAlignment="1" applyProtection="1">
      <alignment vertical="center" shrinkToFit="1"/>
      <protection locked="0"/>
    </xf>
    <xf numFmtId="43" fontId="72" fillId="31" borderId="75" xfId="1" applyFont="1" applyFill="1" applyBorder="1" applyAlignment="1" applyProtection="1">
      <alignment vertical="center" shrinkToFit="1"/>
      <protection locked="0"/>
    </xf>
    <xf numFmtId="43" fontId="72" fillId="31" borderId="75" xfId="1" applyFont="1" applyFill="1" applyBorder="1" applyAlignment="1" applyProtection="1">
      <alignment vertical="center"/>
      <protection locked="0"/>
    </xf>
    <xf numFmtId="43" fontId="72" fillId="31" borderId="60" xfId="1" applyFont="1" applyFill="1" applyBorder="1" applyAlignment="1" applyProtection="1">
      <alignment horizontal="left" vertical="center" shrinkToFit="1"/>
      <protection locked="0"/>
    </xf>
    <xf numFmtId="43" fontId="62" fillId="25" borderId="63" xfId="1" applyFont="1" applyFill="1" applyBorder="1" applyAlignment="1" applyProtection="1">
      <alignment horizontal="center" vertical="center" shrinkToFit="1"/>
      <protection locked="0"/>
    </xf>
    <xf numFmtId="0" fontId="71" fillId="0" borderId="62" xfId="6" applyFont="1" applyFill="1" applyBorder="1" applyAlignment="1" applyProtection="1">
      <alignment horizontal="center" vertical="center"/>
      <protection locked="0"/>
    </xf>
    <xf numFmtId="1" fontId="71" fillId="0" borderId="62" xfId="6" quotePrefix="1" applyNumberFormat="1" applyFont="1" applyFill="1" applyBorder="1" applyAlignment="1" applyProtection="1">
      <alignment horizontal="center" vertical="center"/>
      <protection locked="0"/>
    </xf>
    <xf numFmtId="0" fontId="71" fillId="0" borderId="63" xfId="6" applyFont="1" applyFill="1" applyBorder="1" applyAlignment="1" applyProtection="1">
      <alignment horizontal="center" vertical="center" shrinkToFit="1"/>
      <protection locked="0"/>
    </xf>
    <xf numFmtId="1" fontId="71" fillId="0" borderId="63" xfId="1" quotePrefix="1" applyNumberFormat="1" applyFont="1" applyFill="1" applyBorder="1" applyAlignment="1" applyProtection="1">
      <alignment horizontal="center" vertical="center" shrinkToFit="1"/>
      <protection locked="0"/>
    </xf>
    <xf numFmtId="43" fontId="71" fillId="0" borderId="63" xfId="1" quotePrefix="1" applyFont="1" applyFill="1" applyBorder="1" applyAlignment="1" applyProtection="1">
      <alignment horizontal="center" vertical="center" shrinkToFit="1"/>
      <protection locked="0"/>
    </xf>
    <xf numFmtId="43" fontId="46" fillId="0" borderId="72" xfId="1" applyFont="1" applyFill="1" applyBorder="1" applyAlignment="1" applyProtection="1">
      <alignment horizontal="center" vertical="center" shrinkToFit="1"/>
      <protection locked="0"/>
    </xf>
    <xf numFmtId="17" fontId="71" fillId="0" borderId="72" xfId="1" quotePrefix="1" applyNumberFormat="1" applyFont="1" applyFill="1" applyBorder="1" applyAlignment="1" applyProtection="1">
      <alignment horizontal="center" vertical="center" shrinkToFit="1"/>
      <protection locked="0"/>
    </xf>
    <xf numFmtId="43" fontId="54" fillId="0" borderId="61" xfId="1" applyFont="1" applyFill="1" applyBorder="1" applyAlignment="1" applyProtection="1">
      <alignment vertical="center" shrinkToFit="1"/>
      <protection locked="0"/>
    </xf>
    <xf numFmtId="43" fontId="47" fillId="22" borderId="26" xfId="1" applyFont="1" applyFill="1" applyBorder="1" applyAlignment="1" applyProtection="1">
      <alignment horizontal="center" vertical="top" wrapText="1"/>
      <protection locked="0"/>
    </xf>
    <xf numFmtId="43" fontId="47" fillId="22" borderId="4" xfId="1" applyFont="1" applyFill="1" applyBorder="1" applyAlignment="1" applyProtection="1">
      <alignment horizontal="center" vertical="top" wrapText="1"/>
      <protection locked="0"/>
    </xf>
    <xf numFmtId="43" fontId="63" fillId="22" borderId="46" xfId="1" applyFont="1" applyFill="1" applyBorder="1" applyAlignment="1" applyProtection="1">
      <alignment horizontal="center" vertical="top" wrapText="1"/>
      <protection locked="0"/>
    </xf>
    <xf numFmtId="9" fontId="59" fillId="11" borderId="0" xfId="9" applyFont="1" applyFill="1" applyAlignment="1" applyProtection="1">
      <alignment horizontal="center"/>
      <protection locked="0"/>
    </xf>
    <xf numFmtId="43" fontId="67" fillId="31" borderId="33" xfId="1" applyFont="1" applyFill="1" applyBorder="1" applyAlignment="1" applyProtection="1">
      <alignment horizontal="center"/>
      <protection locked="0"/>
    </xf>
    <xf numFmtId="9" fontId="13" fillId="11" borderId="0" xfId="9" applyFont="1" applyFill="1" applyBorder="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67" fillId="11" borderId="0" xfId="1" applyNumberFormat="1" applyFont="1" applyFill="1" applyBorder="1" applyAlignment="1" applyProtection="1">
      <alignment horizontal="center"/>
      <protection locked="0"/>
    </xf>
    <xf numFmtId="43" fontId="67" fillId="11" borderId="0" xfId="1" applyFont="1" applyFill="1" applyBorder="1" applyAlignment="1" applyProtection="1">
      <alignment horizontal="center"/>
      <protection locked="0"/>
    </xf>
    <xf numFmtId="1" fontId="65" fillId="11" borderId="0" xfId="1" applyNumberFormat="1" applyFont="1" applyFill="1" applyBorder="1" applyAlignment="1" applyProtection="1">
      <alignment horizontal="center"/>
      <protection locked="0"/>
    </xf>
    <xf numFmtId="43" fontId="65" fillId="11" borderId="0" xfId="1" applyFont="1" applyFill="1" applyBorder="1" applyAlignment="1" applyProtection="1">
      <alignment horizontal="center"/>
      <protection locked="0"/>
    </xf>
    <xf numFmtId="0" fontId="67"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1" fillId="11" borderId="0" xfId="1" applyFont="1" applyFill="1" applyBorder="1" applyAlignment="1" applyProtection="1">
      <alignment horizontal="center"/>
      <protection locked="0"/>
    </xf>
    <xf numFmtId="0" fontId="80" fillId="0" borderId="0" xfId="0" applyFont="1" applyProtection="1">
      <protection locked="0"/>
    </xf>
    <xf numFmtId="0" fontId="81" fillId="0" borderId="0" xfId="0" applyFont="1" applyAlignment="1" applyProtection="1">
      <alignment horizontal="center"/>
      <protection locked="0"/>
    </xf>
    <xf numFmtId="0" fontId="81" fillId="0" borderId="0" xfId="0" applyFont="1" applyProtection="1">
      <protection locked="0"/>
    </xf>
    <xf numFmtId="43" fontId="81" fillId="0" borderId="0" xfId="0" applyNumberFormat="1" applyFont="1" applyProtection="1">
      <protection locked="0"/>
    </xf>
    <xf numFmtId="43" fontId="81" fillId="0" borderId="0" xfId="0" applyNumberFormat="1" applyFont="1" applyAlignment="1" applyProtection="1">
      <alignment horizontal="center"/>
      <protection locked="0"/>
    </xf>
    <xf numFmtId="43" fontId="82" fillId="0" borderId="0" xfId="1" applyFont="1" applyProtection="1">
      <protection locked="0"/>
    </xf>
    <xf numFmtId="0" fontId="66" fillId="0" borderId="0" xfId="0" applyFont="1" applyAlignment="1" applyProtection="1">
      <alignment vertical="center"/>
      <protection locked="0"/>
    </xf>
    <xf numFmtId="0" fontId="81" fillId="0" borderId="0" xfId="0" applyFont="1" applyAlignment="1" applyProtection="1">
      <alignment vertical="center"/>
      <protection locked="0"/>
    </xf>
    <xf numFmtId="43" fontId="81" fillId="0" borderId="0" xfId="1" applyFont="1" applyAlignment="1" applyProtection="1">
      <alignment vertical="center"/>
      <protection locked="0"/>
    </xf>
    <xf numFmtId="43" fontId="66" fillId="0" borderId="0" xfId="1" applyFont="1" applyAlignment="1" applyProtection="1">
      <alignment horizontal="center" vertical="center"/>
      <protection locked="0"/>
    </xf>
    <xf numFmtId="0" fontId="66" fillId="0" borderId="0" xfId="1" applyNumberFormat="1" applyFont="1" applyAlignment="1" applyProtection="1">
      <alignment horizontal="center" vertical="center"/>
      <protection locked="0"/>
    </xf>
    <xf numFmtId="1" fontId="66" fillId="0" borderId="0" xfId="1" applyNumberFormat="1" applyFont="1" applyAlignment="1" applyProtection="1">
      <alignment horizontal="center" vertical="center"/>
      <protection locked="0"/>
    </xf>
    <xf numFmtId="1" fontId="74" fillId="0" borderId="0" xfId="1" applyNumberFormat="1" applyFont="1" applyAlignment="1" applyProtection="1">
      <alignment horizontal="center" vertical="center"/>
      <protection locked="0"/>
    </xf>
    <xf numFmtId="43" fontId="67" fillId="0" borderId="0" xfId="1" applyFont="1" applyAlignment="1" applyProtection="1">
      <alignment vertical="center"/>
      <protection locked="0"/>
    </xf>
    <xf numFmtId="0" fontId="67" fillId="0" borderId="0" xfId="1" applyNumberFormat="1" applyFont="1" applyAlignment="1" applyProtection="1">
      <alignment horizontal="center" vertical="center"/>
      <protection locked="0"/>
    </xf>
    <xf numFmtId="43" fontId="45" fillId="0" borderId="0" xfId="1" applyFont="1" applyAlignment="1" applyProtection="1">
      <alignment horizontal="center" vertical="center"/>
      <protection locked="0"/>
    </xf>
    <xf numFmtId="43" fontId="62" fillId="0" borderId="0" xfId="1" applyFont="1" applyAlignment="1" applyProtection="1">
      <alignment horizontal="center" vertical="center"/>
      <protection locked="0"/>
    </xf>
    <xf numFmtId="4" fontId="66" fillId="0" borderId="0" xfId="1" applyNumberFormat="1" applyFont="1" applyAlignment="1" applyProtection="1">
      <alignment vertical="center"/>
      <protection locked="0"/>
    </xf>
    <xf numFmtId="43" fontId="59" fillId="0" borderId="0" xfId="1" applyFont="1" applyAlignment="1" applyProtection="1">
      <alignment vertical="center"/>
      <protection locked="0"/>
    </xf>
    <xf numFmtId="43" fontId="61" fillId="0" borderId="0" xfId="1" applyFont="1" applyAlignment="1" applyProtection="1">
      <alignment vertical="center"/>
      <protection locked="0"/>
    </xf>
    <xf numFmtId="43" fontId="45" fillId="0" borderId="0" xfId="1" applyFont="1" applyAlignment="1" applyProtection="1">
      <alignment vertical="center"/>
      <protection locked="0"/>
    </xf>
    <xf numFmtId="43" fontId="6" fillId="0" borderId="0" xfId="1" applyFont="1" applyAlignment="1" applyProtection="1">
      <alignment vertical="center"/>
      <protection locked="0"/>
    </xf>
    <xf numFmtId="4" fontId="67" fillId="0" borderId="0" xfId="1" applyNumberFormat="1" applyFont="1" applyAlignment="1" applyProtection="1">
      <alignment vertical="center"/>
      <protection locked="0"/>
    </xf>
    <xf numFmtId="4" fontId="66" fillId="0" borderId="0" xfId="1" applyNumberFormat="1" applyFont="1" applyAlignment="1" applyProtection="1">
      <alignment horizontal="center" vertical="center"/>
      <protection locked="0"/>
    </xf>
    <xf numFmtId="0" fontId="66" fillId="0" borderId="0" xfId="0" applyFont="1" applyAlignment="1">
      <alignment vertical="center"/>
    </xf>
    <xf numFmtId="43" fontId="45" fillId="32" borderId="63" xfId="1" applyFont="1" applyFill="1" applyBorder="1" applyAlignment="1" applyProtection="1">
      <alignment horizontal="center" vertical="center" shrinkToFit="1"/>
      <protection locked="0"/>
    </xf>
    <xf numFmtId="9" fontId="4" fillId="0" borderId="66"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69" fillId="11" borderId="0" xfId="1" applyNumberFormat="1" applyFont="1" applyFill="1" applyAlignment="1" applyProtection="1">
      <alignment horizontal="centerContinuous" vertical="center"/>
      <protection locked="0"/>
    </xf>
    <xf numFmtId="0" fontId="69" fillId="11" borderId="0" xfId="1" applyNumberFormat="1" applyFont="1" applyFill="1" applyAlignment="1" applyProtection="1">
      <alignment horizontal="center"/>
      <protection locked="0"/>
    </xf>
    <xf numFmtId="0" fontId="69" fillId="0" borderId="70" xfId="1" applyNumberFormat="1" applyFont="1" applyFill="1" applyBorder="1" applyAlignment="1" applyProtection="1">
      <alignment horizontal="center" vertical="center" shrinkToFit="1"/>
      <protection locked="0"/>
    </xf>
    <xf numFmtId="0" fontId="69" fillId="0" borderId="68" xfId="1" applyNumberFormat="1" applyFont="1" applyFill="1" applyBorder="1" applyAlignment="1" applyProtection="1">
      <alignment horizontal="center" vertical="center" shrinkToFit="1"/>
      <protection locked="0"/>
    </xf>
    <xf numFmtId="1" fontId="69" fillId="31" borderId="33" xfId="1" applyNumberFormat="1" applyFont="1" applyFill="1" applyBorder="1" applyAlignment="1" applyProtection="1">
      <alignment horizontal="center"/>
      <protection locked="0"/>
    </xf>
    <xf numFmtId="1" fontId="69" fillId="11" borderId="0" xfId="1" applyNumberFormat="1" applyFont="1" applyFill="1" applyBorder="1" applyAlignment="1" applyProtection="1">
      <alignment horizontal="center"/>
      <protection locked="0"/>
    </xf>
    <xf numFmtId="0" fontId="69" fillId="0" borderId="0" xfId="1" applyNumberFormat="1" applyFont="1" applyAlignment="1" applyProtection="1">
      <alignment horizontal="center"/>
      <protection locked="0"/>
    </xf>
    <xf numFmtId="0" fontId="69" fillId="0" borderId="0" xfId="1" applyNumberFormat="1" applyFont="1" applyAlignment="1" applyProtection="1">
      <alignment horizontal="center" vertical="center"/>
      <protection locked="0"/>
    </xf>
    <xf numFmtId="43" fontId="45" fillId="0" borderId="72" xfId="1" applyFont="1" applyFill="1" applyBorder="1" applyAlignment="1" applyProtection="1">
      <alignment horizontal="center" vertical="center" shrinkToFit="1"/>
      <protection locked="0"/>
    </xf>
    <xf numFmtId="43" fontId="45" fillId="0" borderId="63" xfId="1" applyFont="1" applyFill="1" applyBorder="1" applyAlignment="1" applyProtection="1">
      <alignment horizontal="center" vertical="center" shrinkToFit="1"/>
      <protection locked="0"/>
    </xf>
    <xf numFmtId="0" fontId="85" fillId="0" borderId="66" xfId="1" applyNumberFormat="1" applyFont="1" applyFill="1" applyBorder="1" applyAlignment="1" applyProtection="1">
      <alignment horizontal="center" vertical="center" shrinkToFit="1"/>
      <protection locked="0"/>
    </xf>
    <xf numFmtId="164" fontId="86" fillId="11" borderId="0" xfId="10" applyNumberFormat="1" applyFont="1" applyFill="1" applyAlignment="1"/>
    <xf numFmtId="43" fontId="28" fillId="11" borderId="0" xfId="11" applyFont="1" applyFill="1" applyBorder="1" applyAlignment="1"/>
    <xf numFmtId="0" fontId="77" fillId="0" borderId="0" xfId="0" applyFont="1" applyProtection="1">
      <protection locked="0"/>
    </xf>
    <xf numFmtId="0" fontId="70" fillId="5" borderId="4" xfId="8" applyFont="1" applyFill="1" applyBorder="1" applyAlignment="1" applyProtection="1">
      <alignment horizontal="center" vertical="center" wrapText="1"/>
      <protection locked="0"/>
    </xf>
    <xf numFmtId="0" fontId="76" fillId="0" borderId="113" xfId="1" applyNumberFormat="1" applyFont="1" applyFill="1" applyBorder="1" applyAlignment="1" applyProtection="1">
      <alignment horizontal="center" vertical="center" shrinkToFit="1"/>
      <protection locked="0"/>
    </xf>
    <xf numFmtId="0" fontId="71" fillId="0" borderId="113" xfId="1" applyNumberFormat="1" applyFont="1" applyFill="1" applyBorder="1" applyAlignment="1" applyProtection="1">
      <alignment horizontal="center" vertical="center" shrinkToFit="1"/>
      <protection locked="0"/>
    </xf>
    <xf numFmtId="0" fontId="71" fillId="0" borderId="110" xfId="1" applyNumberFormat="1" applyFont="1" applyFill="1" applyBorder="1" applyAlignment="1" applyProtection="1">
      <alignment horizontal="center" vertical="center" shrinkToFit="1"/>
      <protection locked="0"/>
    </xf>
    <xf numFmtId="164" fontId="28" fillId="29" borderId="0" xfId="10" applyNumberFormat="1" applyFont="1" applyFill="1" applyAlignment="1"/>
    <xf numFmtId="0" fontId="28" fillId="26" borderId="59" xfId="10" applyFont="1" applyFill="1" applyBorder="1" applyAlignment="1">
      <alignment horizontal="center" vertical="center"/>
    </xf>
    <xf numFmtId="0" fontId="87" fillId="11" borderId="0" xfId="12" applyFont="1" applyFill="1"/>
    <xf numFmtId="0" fontId="88" fillId="27" borderId="78" xfId="12" applyFont="1" applyFill="1" applyBorder="1" applyAlignment="1">
      <alignment horizontal="left" vertical="center"/>
    </xf>
    <xf numFmtId="0" fontId="88" fillId="27" borderId="93" xfId="12" applyFont="1" applyFill="1" applyBorder="1" applyAlignment="1">
      <alignment horizontal="center" vertical="center"/>
    </xf>
    <xf numFmtId="0" fontId="88" fillId="27" borderId="49" xfId="12" applyFont="1" applyFill="1" applyBorder="1" applyAlignment="1">
      <alignment horizontal="center" vertical="center"/>
    </xf>
    <xf numFmtId="0" fontId="88" fillId="11" borderId="0" xfId="12" applyFont="1" applyFill="1" applyAlignment="1">
      <alignment horizontal="center" vertical="center"/>
    </xf>
    <xf numFmtId="0" fontId="87" fillId="0" borderId="0" xfId="12" applyFont="1"/>
    <xf numFmtId="0" fontId="88" fillId="11" borderId="0" xfId="10" applyFont="1" applyFill="1" applyAlignment="1"/>
    <xf numFmtId="0" fontId="88" fillId="27" borderId="94" xfId="12" applyFont="1" applyFill="1" applyBorder="1" applyAlignment="1">
      <alignment horizontal="center" vertical="center"/>
    </xf>
    <xf numFmtId="0" fontId="88" fillId="27" borderId="17" xfId="12" applyFont="1" applyFill="1" applyBorder="1" applyAlignment="1">
      <alignment horizontal="center" vertical="center"/>
    </xf>
    <xf numFmtId="0" fontId="88" fillId="27" borderId="95" xfId="12" applyFont="1" applyFill="1" applyBorder="1" applyAlignment="1">
      <alignment horizontal="center" vertical="center"/>
    </xf>
    <xf numFmtId="0" fontId="88" fillId="0" borderId="0" xfId="10" applyFont="1" applyAlignment="1"/>
    <xf numFmtId="0" fontId="87" fillId="11" borderId="0" xfId="12" applyFont="1" applyFill="1" applyAlignment="1">
      <alignment vertical="center"/>
    </xf>
    <xf numFmtId="0" fontId="88" fillId="27" borderId="96" xfId="12" applyFont="1" applyFill="1" applyBorder="1" applyAlignment="1">
      <alignment horizontal="center" vertical="center"/>
    </xf>
    <xf numFmtId="0" fontId="88" fillId="27" borderId="85" xfId="12" applyFont="1" applyFill="1" applyBorder="1" applyAlignment="1">
      <alignment horizontal="center" vertical="center"/>
    </xf>
    <xf numFmtId="43" fontId="88" fillId="27" borderId="85" xfId="11" applyFont="1" applyFill="1" applyBorder="1" applyAlignment="1">
      <alignment horizontal="center" vertical="center"/>
    </xf>
    <xf numFmtId="0" fontId="88" fillId="27" borderId="86" xfId="12" applyFont="1" applyFill="1" applyBorder="1" applyAlignment="1">
      <alignment horizontal="center" vertical="center"/>
    </xf>
    <xf numFmtId="0" fontId="87" fillId="0" borderId="0" xfId="12" applyFont="1" applyAlignment="1">
      <alignment vertical="center"/>
    </xf>
    <xf numFmtId="0" fontId="37" fillId="11" borderId="0" xfId="10" applyFont="1" applyFill="1" applyAlignment="1">
      <alignment horizontal="centerContinuous"/>
    </xf>
    <xf numFmtId="43" fontId="37" fillId="11" borderId="0" xfId="11" applyFont="1" applyFill="1" applyAlignment="1">
      <alignment horizontal="centerContinuous"/>
    </xf>
    <xf numFmtId="0" fontId="37" fillId="0" borderId="0" xfId="10" applyFont="1"/>
    <xf numFmtId="0" fontId="37" fillId="11" borderId="0" xfId="10" applyFont="1" applyFill="1" applyBorder="1" applyAlignment="1"/>
    <xf numFmtId="0" fontId="37" fillId="24" borderId="17" xfId="10" applyFont="1" applyFill="1" applyBorder="1" applyAlignment="1"/>
    <xf numFmtId="0" fontId="37" fillId="10" borderId="0" xfId="10" applyFont="1" applyFill="1"/>
    <xf numFmtId="0" fontId="27" fillId="11" borderId="22" xfId="10" applyFont="1" applyFill="1" applyBorder="1" applyAlignment="1">
      <alignment horizontal="center"/>
    </xf>
    <xf numFmtId="0" fontId="30" fillId="11" borderId="24" xfId="10" applyFont="1" applyFill="1" applyBorder="1" applyAlignment="1">
      <alignment wrapText="1"/>
    </xf>
    <xf numFmtId="0" fontId="27" fillId="11" borderId="26" xfId="10" applyFont="1" applyFill="1" applyBorder="1" applyAlignment="1">
      <alignment horizontal="center"/>
    </xf>
    <xf numFmtId="0" fontId="30" fillId="11" borderId="24" xfId="10" applyFont="1" applyFill="1" applyBorder="1" applyAlignment="1">
      <alignment vertical="top" wrapText="1"/>
    </xf>
    <xf numFmtId="0" fontId="30" fillId="11" borderId="4" xfId="10" applyFont="1" applyFill="1" applyBorder="1" applyAlignment="1">
      <alignment vertical="top" wrapText="1"/>
    </xf>
    <xf numFmtId="0" fontId="30" fillId="11" borderId="4" xfId="10" applyFont="1" applyFill="1" applyBorder="1" applyAlignment="1">
      <alignment wrapText="1"/>
    </xf>
    <xf numFmtId="41" fontId="30" fillId="5" borderId="24" xfId="10" applyNumberFormat="1" applyFont="1" applyFill="1" applyBorder="1" applyAlignment="1">
      <alignment horizontal="center" vertical="top" wrapText="1"/>
    </xf>
    <xf numFmtId="41" fontId="30" fillId="5" borderId="4" xfId="10" applyNumberFormat="1" applyFont="1" applyFill="1" applyBorder="1" applyAlignment="1">
      <alignment horizontal="center" vertical="top"/>
    </xf>
    <xf numFmtId="0" fontId="30" fillId="5" borderId="24" xfId="10" applyFont="1" applyFill="1" applyBorder="1" applyAlignment="1">
      <alignment horizontal="center" vertical="top" wrapText="1"/>
    </xf>
    <xf numFmtId="0" fontId="30" fillId="5" borderId="4" xfId="10" applyFont="1" applyFill="1" applyBorder="1" applyAlignment="1">
      <alignment horizontal="center" vertical="top" wrapText="1"/>
    </xf>
    <xf numFmtId="0" fontId="66" fillId="0" borderId="65" xfId="6" applyFont="1" applyFill="1" applyBorder="1" applyAlignment="1" applyProtection="1">
      <alignment horizontal="center" vertical="center"/>
      <protection locked="0"/>
    </xf>
    <xf numFmtId="43" fontId="70" fillId="37" borderId="23" xfId="1" applyFont="1" applyFill="1" applyBorder="1" applyAlignment="1" applyProtection="1">
      <alignment horizontal="center" vertical="top" wrapText="1"/>
      <protection locked="0"/>
    </xf>
    <xf numFmtId="0" fontId="66" fillId="38" borderId="3" xfId="8" applyFont="1" applyFill="1" applyBorder="1" applyAlignment="1" applyProtection="1">
      <alignment horizontal="center" vertical="top" wrapText="1"/>
      <protection locked="0"/>
    </xf>
    <xf numFmtId="0" fontId="69" fillId="39" borderId="4" xfId="0" applyFont="1" applyFill="1" applyBorder="1" applyAlignment="1">
      <alignment horizontal="center" vertical="top" wrapText="1"/>
    </xf>
    <xf numFmtId="0" fontId="66" fillId="38" borderId="4" xfId="8" applyFont="1" applyFill="1" applyBorder="1" applyAlignment="1" applyProtection="1">
      <alignment horizontal="center" vertical="top" wrapText="1"/>
      <protection locked="0"/>
    </xf>
    <xf numFmtId="0" fontId="66" fillId="38" borderId="24" xfId="8" applyFont="1" applyFill="1" applyBorder="1" applyAlignment="1" applyProtection="1">
      <alignment horizontal="center" vertical="top" wrapText="1"/>
      <protection locked="0"/>
    </xf>
    <xf numFmtId="0" fontId="69" fillId="40" borderId="46" xfId="0" applyFont="1" applyFill="1" applyBorder="1" applyAlignment="1">
      <alignment horizontal="center" vertical="top" wrapText="1"/>
    </xf>
    <xf numFmtId="1" fontId="70" fillId="38" borderId="4" xfId="1" applyNumberFormat="1" applyFont="1" applyFill="1" applyBorder="1" applyAlignment="1" applyProtection="1">
      <alignment horizontal="center" vertical="top" wrapText="1"/>
      <protection locked="0"/>
    </xf>
    <xf numFmtId="0" fontId="69" fillId="41" borderId="68" xfId="1" applyNumberFormat="1" applyFont="1" applyFill="1" applyBorder="1" applyAlignment="1" applyProtection="1">
      <alignment horizontal="center" vertical="top" wrapText="1"/>
      <protection locked="0"/>
    </xf>
    <xf numFmtId="0" fontId="70" fillId="37" borderId="22" xfId="1" applyNumberFormat="1" applyFont="1" applyFill="1" applyBorder="1" applyAlignment="1" applyProtection="1">
      <alignment horizontal="center" vertical="top" wrapText="1"/>
      <protection locked="0"/>
    </xf>
    <xf numFmtId="43" fontId="70" fillId="37" borderId="59" xfId="1" applyFont="1" applyFill="1" applyBorder="1" applyAlignment="1" applyProtection="1">
      <alignment horizontal="center" vertical="top" wrapText="1"/>
      <protection locked="0"/>
    </xf>
    <xf numFmtId="0" fontId="69" fillId="41" borderId="93" xfId="1" applyNumberFormat="1" applyFont="1" applyFill="1" applyBorder="1" applyAlignment="1" applyProtection="1">
      <alignment horizontal="center" vertical="top" wrapText="1"/>
      <protection locked="0"/>
    </xf>
    <xf numFmtId="17" fontId="71" fillId="41" borderId="63" xfId="1" quotePrefix="1" applyNumberFormat="1" applyFont="1" applyFill="1" applyBorder="1" applyAlignment="1" applyProtection="1">
      <alignment horizontal="center" vertical="center" shrinkToFit="1"/>
      <protection locked="0"/>
    </xf>
    <xf numFmtId="10" fontId="69" fillId="41" borderId="69" xfId="1" quotePrefix="1" applyNumberFormat="1" applyFont="1" applyFill="1" applyBorder="1" applyAlignment="1" applyProtection="1">
      <alignment horizontal="center" vertical="center" shrinkToFit="1"/>
      <protection locked="0"/>
    </xf>
    <xf numFmtId="0" fontId="69" fillId="41" borderId="110" xfId="1" applyNumberFormat="1" applyFont="1" applyFill="1" applyBorder="1" applyAlignment="1" applyProtection="1">
      <alignment horizontal="center" vertical="top" wrapText="1"/>
      <protection locked="0"/>
    </xf>
    <xf numFmtId="0" fontId="71" fillId="41" borderId="81" xfId="1" applyNumberFormat="1" applyFont="1" applyFill="1" applyBorder="1" applyAlignment="1" applyProtection="1">
      <alignment horizontal="center" vertical="center" shrinkToFit="1"/>
      <protection locked="0"/>
    </xf>
    <xf numFmtId="0" fontId="71" fillId="41" borderId="117" xfId="1" applyNumberFormat="1" applyFont="1" applyFill="1" applyBorder="1" applyAlignment="1" applyProtection="1">
      <alignment horizontal="center" vertical="center" shrinkToFit="1"/>
      <protection locked="0"/>
    </xf>
    <xf numFmtId="43" fontId="71" fillId="41" borderId="117" xfId="1" applyFont="1" applyFill="1" applyBorder="1" applyAlignment="1" applyProtection="1">
      <alignment horizontal="center" vertical="center" shrinkToFit="1"/>
      <protection locked="0"/>
    </xf>
    <xf numFmtId="43" fontId="71" fillId="41" borderId="108" xfId="1" applyFont="1" applyFill="1" applyBorder="1" applyAlignment="1" applyProtection="1">
      <alignment horizontal="center" vertical="center" shrinkToFit="1"/>
      <protection locked="0"/>
    </xf>
    <xf numFmtId="0" fontId="71" fillId="8" borderId="63" xfId="6" applyFont="1" applyFill="1" applyBorder="1" applyAlignment="1" applyProtection="1">
      <alignment vertical="center" shrinkToFit="1"/>
      <protection locked="0"/>
    </xf>
    <xf numFmtId="0" fontId="70" fillId="8" borderId="66" xfId="6" applyFont="1" applyFill="1" applyBorder="1" applyAlignment="1" applyProtection="1">
      <alignment vertical="center" shrinkToFit="1"/>
      <protection locked="0"/>
    </xf>
    <xf numFmtId="0" fontId="84" fillId="8" borderId="66" xfId="6" applyFont="1" applyFill="1" applyBorder="1" applyAlignment="1" applyProtection="1">
      <alignment vertical="center" shrinkToFit="1"/>
      <protection locked="0"/>
    </xf>
    <xf numFmtId="0" fontId="84" fillId="8" borderId="4" xfId="6" applyFont="1" applyFill="1" applyBorder="1" applyAlignment="1" applyProtection="1">
      <alignment horizontal="left" vertical="center" shrinkToFit="1"/>
      <protection locked="0"/>
    </xf>
    <xf numFmtId="0" fontId="84" fillId="8" borderId="66" xfId="6" applyFont="1" applyFill="1" applyBorder="1" applyAlignment="1" applyProtection="1">
      <alignment vertical="top" wrapText="1" shrinkToFit="1"/>
      <protection locked="0"/>
    </xf>
    <xf numFmtId="0" fontId="76" fillId="8" borderId="66" xfId="6" applyFont="1" applyFill="1" applyBorder="1" applyAlignment="1" applyProtection="1">
      <alignment vertical="center" shrinkToFit="1"/>
      <protection locked="0"/>
    </xf>
    <xf numFmtId="0" fontId="76" fillId="8" borderId="4" xfId="6" applyFont="1" applyFill="1" applyBorder="1" applyAlignment="1" applyProtection="1">
      <alignment horizontal="left" vertical="center" shrinkToFit="1"/>
      <protection locked="0"/>
    </xf>
    <xf numFmtId="0" fontId="83" fillId="8" borderId="66" xfId="6" applyFont="1" applyFill="1" applyBorder="1" applyAlignment="1" applyProtection="1">
      <alignment vertical="center" shrinkToFit="1"/>
      <protection locked="0"/>
    </xf>
    <xf numFmtId="43" fontId="64" fillId="11" borderId="0" xfId="1" applyFont="1" applyFill="1" applyBorder="1" applyAlignment="1" applyProtection="1">
      <alignment horizontal="center"/>
      <protection locked="0"/>
    </xf>
    <xf numFmtId="43" fontId="67" fillId="11" borderId="0" xfId="1" applyFont="1" applyFill="1" applyAlignment="1" applyProtection="1">
      <alignment horizontal="center" vertical="center"/>
      <protection locked="0"/>
    </xf>
    <xf numFmtId="43" fontId="69" fillId="41" borderId="0" xfId="1" applyFont="1" applyFill="1" applyBorder="1" applyAlignment="1" applyProtection="1">
      <alignment horizontal="center" vertical="top" wrapText="1"/>
      <protection locked="0"/>
    </xf>
    <xf numFmtId="43" fontId="69" fillId="41" borderId="111" xfId="1" applyFont="1" applyFill="1" applyBorder="1" applyAlignment="1" applyProtection="1">
      <alignment horizontal="center" vertical="top" wrapText="1"/>
      <protection locked="0"/>
    </xf>
    <xf numFmtId="43" fontId="69" fillId="41" borderId="112" xfId="1" applyFont="1" applyFill="1" applyBorder="1" applyAlignment="1" applyProtection="1">
      <alignment horizontal="center" vertical="top" wrapText="1"/>
      <protection locked="0"/>
    </xf>
    <xf numFmtId="43" fontId="71" fillId="41" borderId="114" xfId="1" applyFont="1" applyFill="1" applyBorder="1" applyAlignment="1" applyProtection="1">
      <alignment horizontal="center" vertical="center" shrinkToFit="1"/>
      <protection locked="0"/>
    </xf>
    <xf numFmtId="43" fontId="76" fillId="0" borderId="115" xfId="1" applyFont="1" applyFill="1" applyBorder="1" applyAlignment="1" applyProtection="1">
      <alignment horizontal="center" vertical="center" shrinkToFit="1"/>
      <protection locked="0"/>
    </xf>
    <xf numFmtId="43" fontId="76" fillId="0" borderId="109" xfId="1" applyFont="1" applyFill="1" applyBorder="1" applyAlignment="1" applyProtection="1">
      <alignment horizontal="center" vertical="center" shrinkToFit="1"/>
      <protection locked="0"/>
    </xf>
    <xf numFmtId="43" fontId="76" fillId="0" borderId="64" xfId="1" applyFont="1" applyFill="1" applyBorder="1" applyAlignment="1" applyProtection="1">
      <alignment horizontal="center" vertical="center" shrinkToFit="1"/>
      <protection locked="0"/>
    </xf>
    <xf numFmtId="43" fontId="71" fillId="0" borderId="115" xfId="1" applyFont="1" applyFill="1" applyBorder="1" applyAlignment="1" applyProtection="1">
      <alignment horizontal="center" vertical="center" shrinkToFit="1"/>
      <protection locked="0"/>
    </xf>
    <xf numFmtId="43" fontId="71" fillId="0" borderId="109" xfId="1" applyFont="1" applyFill="1" applyBorder="1" applyAlignment="1" applyProtection="1">
      <alignment horizontal="center" vertical="center" shrinkToFit="1"/>
      <protection locked="0"/>
    </xf>
    <xf numFmtId="43" fontId="71" fillId="0" borderId="64" xfId="1" applyFont="1" applyFill="1" applyBorder="1" applyAlignment="1" applyProtection="1">
      <alignment horizontal="center" vertical="center" shrinkToFit="1"/>
      <protection locked="0"/>
    </xf>
    <xf numFmtId="43" fontId="71" fillId="0" borderId="116" xfId="1" applyFont="1" applyFill="1" applyBorder="1" applyAlignment="1" applyProtection="1">
      <alignment horizontal="center" vertical="center" shrinkToFit="1"/>
      <protection locked="0"/>
    </xf>
    <xf numFmtId="43" fontId="71" fillId="0" borderId="111" xfId="1" applyFont="1" applyFill="1" applyBorder="1" applyAlignment="1" applyProtection="1">
      <alignment horizontal="center" vertical="center" shrinkToFit="1"/>
      <protection locked="0"/>
    </xf>
    <xf numFmtId="43" fontId="71" fillId="0" borderId="118" xfId="1" applyFont="1" applyFill="1" applyBorder="1" applyAlignment="1" applyProtection="1">
      <alignment horizontal="center" vertical="center" shrinkToFit="1"/>
      <protection locked="0"/>
    </xf>
    <xf numFmtId="43" fontId="71" fillId="41" borderId="107" xfId="1" applyFont="1" applyFill="1" applyBorder="1" applyAlignment="1" applyProtection="1">
      <alignment horizontal="center" vertical="center" shrinkToFit="1"/>
      <protection locked="0"/>
    </xf>
    <xf numFmtId="43" fontId="67" fillId="0" borderId="0" xfId="1" applyFont="1" applyAlignment="1" applyProtection="1">
      <alignment horizontal="center"/>
      <protection locked="0"/>
    </xf>
    <xf numFmtId="43" fontId="67" fillId="0" borderId="0" xfId="1" applyFont="1" applyAlignment="1" applyProtection="1">
      <alignment horizontal="center" vertical="center"/>
      <protection locked="0"/>
    </xf>
    <xf numFmtId="43" fontId="91" fillId="0" borderId="115" xfId="1" applyFont="1" applyFill="1" applyBorder="1" applyAlignment="1" applyProtection="1">
      <alignment horizontal="center" vertical="center" shrinkToFit="1"/>
      <protection locked="0"/>
    </xf>
    <xf numFmtId="1" fontId="92" fillId="0" borderId="4" xfId="1" applyNumberFormat="1" applyFont="1" applyFill="1" applyBorder="1" applyAlignment="1" applyProtection="1">
      <alignment horizontal="center" vertical="center" shrinkToFit="1"/>
      <protection locked="0"/>
    </xf>
    <xf numFmtId="1" fontId="74" fillId="25" borderId="6" xfId="1" quotePrefix="1" applyNumberFormat="1" applyFont="1" applyFill="1" applyBorder="1" applyAlignment="1" applyProtection="1">
      <alignment horizontal="center" vertical="center" shrinkToFit="1"/>
      <protection locked="0"/>
    </xf>
    <xf numFmtId="43" fontId="74" fillId="25" borderId="123" xfId="1" applyFont="1" applyFill="1" applyBorder="1" applyAlignment="1" applyProtection="1">
      <alignment horizontal="center" vertical="center" shrinkToFit="1"/>
      <protection locked="0"/>
    </xf>
    <xf numFmtId="43" fontId="93" fillId="0" borderId="66" xfId="1" applyFont="1" applyFill="1" applyBorder="1" applyAlignment="1" applyProtection="1">
      <alignment horizontal="center" vertical="center" shrinkToFit="1"/>
      <protection locked="0"/>
    </xf>
    <xf numFmtId="1" fontId="93" fillId="11" borderId="122" xfId="1" quotePrefix="1" applyNumberFormat="1" applyFont="1" applyFill="1" applyBorder="1" applyAlignment="1" applyProtection="1">
      <alignment horizontal="center" vertical="center" shrinkToFit="1"/>
      <protection locked="0"/>
    </xf>
    <xf numFmtId="43" fontId="93" fillId="11" borderId="122" xfId="1" applyFont="1" applyFill="1" applyBorder="1" applyAlignment="1" applyProtection="1">
      <alignment horizontal="center" vertical="center" shrinkToFit="1"/>
      <protection locked="0"/>
    </xf>
    <xf numFmtId="1" fontId="62" fillId="25" borderId="6" xfId="1" quotePrefix="1" applyNumberFormat="1" applyFont="1" applyFill="1" applyBorder="1" applyAlignment="1" applyProtection="1">
      <alignment horizontal="center" vertical="center" shrinkToFit="1"/>
      <protection locked="0"/>
    </xf>
    <xf numFmtId="1" fontId="62" fillId="25" borderId="122" xfId="1" quotePrefix="1" applyNumberFormat="1" applyFont="1" applyFill="1" applyBorder="1" applyAlignment="1" applyProtection="1">
      <alignment horizontal="center" vertical="center" shrinkToFit="1"/>
      <protection locked="0"/>
    </xf>
    <xf numFmtId="43" fontId="62" fillId="25" borderId="16" xfId="1" applyFont="1" applyFill="1" applyBorder="1" applyAlignment="1" applyProtection="1">
      <alignment horizontal="center" vertical="center" shrinkToFit="1"/>
      <protection locked="0"/>
    </xf>
    <xf numFmtId="43" fontId="62" fillId="25" borderId="122" xfId="1" applyFont="1" applyFill="1" applyBorder="1" applyAlignment="1" applyProtection="1">
      <alignment horizontal="center" vertical="center" shrinkToFit="1"/>
      <protection locked="0"/>
    </xf>
    <xf numFmtId="43" fontId="46" fillId="32" borderId="16" xfId="1" applyFont="1" applyFill="1" applyBorder="1" applyAlignment="1" applyProtection="1">
      <alignment horizontal="center" vertical="center" shrinkToFit="1"/>
      <protection locked="0"/>
    </xf>
    <xf numFmtId="43" fontId="46" fillId="32" borderId="122" xfId="1" applyFont="1" applyFill="1" applyBorder="1" applyAlignment="1" applyProtection="1">
      <alignment horizontal="center" vertical="center" shrinkToFit="1"/>
      <protection locked="0"/>
    </xf>
    <xf numFmtId="43" fontId="94" fillId="0" borderId="65" xfId="1" applyFont="1" applyFill="1" applyBorder="1" applyAlignment="1">
      <alignment horizontal="center"/>
    </xf>
    <xf numFmtId="43" fontId="95" fillId="32" borderId="62" xfId="1" applyFont="1" applyFill="1" applyBorder="1" applyAlignment="1" applyProtection="1">
      <alignment horizontal="center" vertical="center" shrinkToFit="1"/>
      <protection locked="0"/>
    </xf>
    <xf numFmtId="43" fontId="79" fillId="36" borderId="121" xfId="1" applyFont="1" applyFill="1" applyBorder="1" applyAlignment="1" applyProtection="1">
      <alignment horizontal="center" vertical="center"/>
      <protection locked="0"/>
    </xf>
    <xf numFmtId="43" fontId="79" fillId="36" borderId="0" xfId="1" applyFont="1" applyFill="1" applyBorder="1" applyAlignment="1" applyProtection="1">
      <alignment horizontal="center" vertical="center"/>
      <protection locked="0"/>
    </xf>
    <xf numFmtId="43" fontId="79" fillId="36" borderId="39" xfId="1" applyFont="1" applyFill="1" applyBorder="1" applyAlignment="1" applyProtection="1">
      <alignment horizontal="center" vertical="center"/>
      <protection locked="0"/>
    </xf>
    <xf numFmtId="43" fontId="79" fillId="35" borderId="0" xfId="1" applyFont="1" applyFill="1" applyBorder="1" applyAlignment="1" applyProtection="1">
      <alignment horizontal="center" vertical="center"/>
      <protection locked="0"/>
    </xf>
    <xf numFmtId="43" fontId="79" fillId="35" borderId="39" xfId="1" applyFont="1" applyFill="1" applyBorder="1" applyAlignment="1" applyProtection="1">
      <alignment horizontal="center" vertical="center"/>
      <protection locked="0"/>
    </xf>
    <xf numFmtId="0" fontId="64" fillId="11" borderId="0" xfId="3" applyFont="1" applyFill="1" applyBorder="1" applyAlignment="1" applyProtection="1">
      <alignment horizontal="left"/>
      <protection locked="0"/>
    </xf>
    <xf numFmtId="43" fontId="89" fillId="42" borderId="78" xfId="1" applyFont="1" applyFill="1" applyBorder="1" applyAlignment="1" applyProtection="1">
      <alignment horizontal="center" vertical="center"/>
      <protection locked="0"/>
    </xf>
    <xf numFmtId="43" fontId="89" fillId="42" borderId="93" xfId="1" applyFont="1" applyFill="1" applyBorder="1" applyAlignment="1" applyProtection="1">
      <alignment horizontal="center" vertical="center"/>
      <protection locked="0"/>
    </xf>
    <xf numFmtId="43" fontId="89" fillId="42" borderId="49" xfId="1" applyFont="1" applyFill="1" applyBorder="1" applyAlignment="1" applyProtection="1">
      <alignment horizontal="center" vertical="center"/>
      <protection locked="0"/>
    </xf>
    <xf numFmtId="43" fontId="90" fillId="42" borderId="119" xfId="1" applyFont="1" applyFill="1" applyBorder="1" applyAlignment="1" applyProtection="1">
      <alignment horizontal="center" vertical="center"/>
      <protection locked="0"/>
    </xf>
    <xf numFmtId="43" fontId="90" fillId="42" borderId="120" xfId="1" applyFont="1" applyFill="1" applyBorder="1" applyAlignment="1" applyProtection="1">
      <alignment horizontal="center" vertical="center"/>
      <protection locked="0"/>
    </xf>
    <xf numFmtId="43" fontId="90" fillId="42" borderId="50" xfId="1" applyFont="1" applyFill="1" applyBorder="1" applyAlignment="1" applyProtection="1">
      <alignment horizontal="center" vertical="center"/>
      <protection locked="0"/>
    </xf>
    <xf numFmtId="43" fontId="79" fillId="35" borderId="93" xfId="1" applyFont="1" applyFill="1" applyBorder="1" applyAlignment="1" applyProtection="1">
      <alignment horizontal="center" vertical="center"/>
      <protection locked="0"/>
    </xf>
    <xf numFmtId="43" fontId="79" fillId="35" borderId="49" xfId="1" applyFont="1" applyFill="1" applyBorder="1" applyAlignment="1" applyProtection="1">
      <alignment horizontal="center" vertical="center"/>
      <protection locked="0"/>
    </xf>
    <xf numFmtId="43" fontId="79" fillId="36" borderId="78" xfId="1" applyFont="1" applyFill="1" applyBorder="1" applyAlignment="1" applyProtection="1">
      <alignment horizontal="center" vertical="center"/>
      <protection locked="0"/>
    </xf>
    <xf numFmtId="43" fontId="79" fillId="36" borderId="93" xfId="1" applyFont="1" applyFill="1" applyBorder="1" applyAlignment="1" applyProtection="1">
      <alignment horizontal="center" vertical="center"/>
      <protection locked="0"/>
    </xf>
    <xf numFmtId="43" fontId="79" fillId="36" borderId="49" xfId="1" applyFont="1" applyFill="1" applyBorder="1" applyAlignment="1" applyProtection="1">
      <alignment horizontal="center" vertical="center"/>
      <protection locked="0"/>
    </xf>
    <xf numFmtId="43" fontId="28" fillId="11" borderId="0" xfId="11" applyFont="1" applyFill="1" applyBorder="1" applyAlignment="1">
      <alignment horizontal="left" vertical="center" wrapText="1"/>
    </xf>
    <xf numFmtId="0" fontId="8" fillId="19" borderId="46"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5"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4" xfId="10" applyFont="1" applyFill="1" applyBorder="1" applyAlignment="1">
      <alignment horizontal="center" vertical="top" wrapText="1"/>
    </xf>
    <xf numFmtId="0" fontId="22" fillId="5" borderId="36" xfId="10" applyFont="1" applyFill="1" applyBorder="1" applyAlignment="1">
      <alignment horizontal="center" vertical="top" wrapText="1"/>
    </xf>
    <xf numFmtId="0" fontId="22" fillId="5" borderId="46"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xf numFmtId="0" fontId="96" fillId="18" borderId="0" xfId="1" applyNumberFormat="1" applyFont="1" applyFill="1" applyBorder="1" applyAlignment="1" applyProtection="1">
      <alignment horizontal="center"/>
      <protection locked="0"/>
    </xf>
    <xf numFmtId="0" fontId="22" fillId="31" borderId="124" xfId="12" applyFont="1" applyFill="1" applyBorder="1" applyAlignment="1">
      <alignment horizontal="center"/>
    </xf>
    <xf numFmtId="9" fontId="22" fillId="31" borderId="101" xfId="9" applyFont="1" applyFill="1" applyBorder="1" applyAlignment="1">
      <alignment horizontal="center"/>
    </xf>
    <xf numFmtId="0" fontId="38" fillId="31" borderId="101" xfId="12" applyFont="1" applyFill="1" applyBorder="1"/>
    <xf numFmtId="43" fontId="22" fillId="31" borderId="101" xfId="9" applyNumberFormat="1" applyFont="1" applyFill="1" applyBorder="1" applyAlignment="1">
      <alignment horizontal="center"/>
    </xf>
    <xf numFmtId="43" fontId="22" fillId="31" borderId="125" xfId="11" applyFont="1" applyFill="1" applyBorder="1" applyAlignment="1"/>
    <xf numFmtId="43" fontId="22" fillId="10" borderId="71" xfId="11" applyFont="1" applyFill="1" applyBorder="1" applyAlignment="1"/>
    <xf numFmtId="0" fontId="22" fillId="31" borderId="71" xfId="12" applyFont="1" applyFill="1" applyBorder="1"/>
    <xf numFmtId="43" fontId="22" fillId="10" borderId="71" xfId="12" applyNumberFormat="1" applyFont="1" applyFill="1" applyBorder="1"/>
    <xf numFmtId="0" fontId="22" fillId="31" borderId="71" xfId="12" applyFont="1" applyFill="1" applyBorder="1" applyAlignment="1">
      <alignment horizontal="center"/>
    </xf>
    <xf numFmtId="0" fontId="22" fillId="31" borderId="126" xfId="12" applyFont="1" applyFill="1" applyBorder="1" applyAlignment="1">
      <alignment horizontal="center"/>
    </xf>
    <xf numFmtId="0" fontId="32" fillId="0" borderId="85" xfId="12" applyFont="1" applyBorder="1"/>
    <xf numFmtId="43" fontId="13" fillId="0" borderId="85" xfId="9" applyNumberFormat="1" applyFont="1" applyBorder="1" applyAlignment="1">
      <alignment horizontal="center"/>
    </xf>
    <xf numFmtId="43" fontId="13" fillId="0" borderId="85" xfId="11" applyFont="1" applyFill="1" applyBorder="1" applyAlignment="1"/>
    <xf numFmtId="43" fontId="13" fillId="0" borderId="85" xfId="12" applyNumberFormat="1" applyFont="1" applyBorder="1" applyAlignment="1">
      <alignment horizontal="center"/>
    </xf>
    <xf numFmtId="43" fontId="13" fillId="18" borderId="85" xfId="1" applyFont="1" applyFill="1" applyBorder="1" applyAlignment="1"/>
    <xf numFmtId="0" fontId="13" fillId="0" borderId="85" xfId="12" applyFont="1" applyBorder="1" applyAlignment="1">
      <alignment horizontal="center"/>
    </xf>
    <xf numFmtId="0" fontId="13" fillId="0" borderId="86" xfId="12" applyFont="1" applyBorder="1" applyAlignment="1">
      <alignment horizontal="center"/>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1">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CCECFF"/>
      <color rgb="FFA4C7FA"/>
      <color rgb="FFFDE9F4"/>
      <color rgb="FFFCDCEE"/>
      <color rgb="FF0000FF"/>
      <color rgb="FFDACCFC"/>
      <color rgb="FFF9FFDD"/>
      <color rgb="FF000099"/>
      <color rgb="FFC0A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1358900</xdr:colOff>
      <xdr:row>57</xdr:row>
      <xdr:rowOff>140758</xdr:rowOff>
    </xdr:from>
    <xdr:to>
      <xdr:col>4</xdr:col>
      <xdr:colOff>428625</xdr:colOff>
      <xdr:row>58</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Assistant Sales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58</xdr:row>
      <xdr:rowOff>107</xdr:rowOff>
    </xdr:from>
    <xdr:to>
      <xdr:col>9</xdr:col>
      <xdr:colOff>693618</xdr:colOff>
      <xdr:row>58</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857074</xdr:colOff>
      <xdr:row>109</xdr:row>
      <xdr:rowOff>35859</xdr:rowOff>
    </xdr:from>
    <xdr:to>
      <xdr:col>269</xdr:col>
      <xdr:colOff>244756</xdr:colOff>
      <xdr:row>125</xdr:row>
      <xdr:rowOff>59767</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498180" y="21389788"/>
          <a:ext cx="5870845" cy="2904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N66" totalsRowShown="0" headerRowDxfId="110" dataDxfId="109" totalsRowDxfId="107" tableBorderDxfId="108" totalsRowBorderDxfId="106">
  <autoFilter ref="A6:AN66" xr:uid="{3C878C68-A372-446C-8256-BD036B6D96E7}"/>
  <tableColumns count="40">
    <tableColumn id="1" xr3:uid="{7A68EB0F-4EB7-4EA0-B847-CDCEDE1995D9}" name="ลำดับ" dataDxfId="105" totalsRowDxfId="104"/>
    <tableColumn id="40" xr3:uid="{10A87547-4790-421C-878A-40568A4342A0}" name="เดือนที่ปิดการขาย" totalsRowDxfId="103"/>
    <tableColumn id="7" xr3:uid="{8F6F8C50-9D55-461F-83AF-B2E29A90BB45}" name="รหัสลูกค้า" dataDxfId="102" totalsRowDxfId="101" dataCellStyle="Total"/>
    <tableColumn id="2" xr3:uid="{E91B7877-DC71-4CB9-BA7F-36CA618C37EA}" name="ชื่อเจ้าของโครงการ" dataDxfId="100" totalsRowDxfId="99"/>
    <tableColumn id="10" xr3:uid="{19271DD2-0A59-4759-AE5D-1AB63890B014}" name="Sales" dataDxfId="98" dataCellStyle="Total"/>
    <tableColumn id="5" xr3:uid="{A5848258-9033-4D9F-8296-8ECDB5D9D258}" name="บริการประเภท" dataDxfId="97" totalsRowDxfId="96" dataCellStyle="Total"/>
    <tableColumn id="24" xr3:uid="{4787A654-053B-4970-BE8C-94B3928D6967}" name="ระยะเวลาสัญญา_x000a_(เดือน)" dataDxfId="95" totalsRowDxfId="94"/>
    <tableColumn id="23" xr3:uid="{71B0D79B-1882-4676-A4CD-587CCE651620}" name="% ค่าคอมค่าบริการ_x000a_(อัตราก้าวหน้า)" dataDxfId="93"/>
    <tableColumn id="20" xr3:uid="{48B19DD3-4849-4286-91E3-FE1F20647640}" name="เดือนที่เริ่มเก็บ_x000a_ค่าบริการ" dataDxfId="92" totalsRowDxfId="91"/>
    <tableColumn id="19" xr3:uid="{4D64D369-8CC0-48C9-8408-2623DCFB69A3}" name="ค่าบริการเฉลี่ยต่อเดือน" dataDxfId="90" totalsRowDxfId="89"/>
    <tableColumn id="41" xr3:uid="{17E28F86-0280-460E-A057-B19365EC434E}" name="ต้นทุนช่องรายการ_x000a_(ถ้ามี)" totalsRowDxfId="88"/>
    <tableColumn id="18" xr3:uid="{7B85F650-D5D4-407F-894D-50A267647FC2}" name="หัก ณ ที่จ่าย_x000a_(ค่าบริการ)" dataDxfId="87" totalsRowDxfId="86"/>
    <tableColumn id="27" xr3:uid="{8F50D093-5CBA-4540-8D5B-69F0ABCFDE07}" name="มูลค่าหัก 3%" dataDxfId="85" totalsRowDxfId="84"/>
    <tableColumn id="25" xr3:uid="{448C2BE4-700B-472E-8A90-659E7D16D1C0}" name="ค่าบริการเฉลียรายเดือนตาม Package_x000a_(เรียกเก็บสุทธิ)" dataDxfId="83" totalsRowDxfId="82" dataCellStyle="Comma"/>
    <tableColumn id="28" xr3:uid="{49720FE6-4F55-473F-8AC8-5EFA4FCF11EF}" name="Total_x000a_รายการเบิก_x000a_คอมขาย_x000a_(1)" dataDxfId="81" totalsRowDxfId="80"/>
    <tableColumn id="9" xr3:uid="{E8C32789-49FE-47D8-9CC6-E6DC2865932C}" name="แบ่งจ่าย/งวด_x000a_(ตามปีสัญญา)" dataDxfId="79" totalsRowDxfId="78" dataCellStyle="Comma"/>
    <tableColumn id="36" xr3:uid="{1BD716E4-B9C4-4CAC-97E3-608F6BA2E34B}" name="ปีที่1_x000a_(ทำจ่ายรอบ 3/2025)"/>
    <tableColumn id="39" xr3:uid="{86B4988D-D2E9-4E82-87A1-9E8EB4FBD369}" name="ปีที่2" dataCellStyle="Comma"/>
    <tableColumn id="38" xr3:uid="{6FC74DCC-7D98-49E1-9DBE-381609B4257F}" name="ปีที่3" totalsRowDxfId="77" dataCellStyle="Comma"/>
    <tableColumn id="37" xr3:uid="{A23F8696-5FCA-4591-B4A1-883EF138DC52}" name="ปีที่4" totalsRowDxfId="76" dataCellStyle="Comma"/>
    <tableColumn id="21" xr3:uid="{C2838910-2F21-4DDC-8C73-E29A1127C374}" name="ปีที่5" totalsRowDxfId="75" dataCellStyle="Comma"/>
    <tableColumn id="22" xr3:uid="{EE653E92-1BD1-40DB-9031-773B3881CD5E}" name="ค่าเชื่อมสัญญาณ/_x000a_ค่าติดตั้ง/_x000a_ค่าขายอุปกรณ์" dataDxfId="74" totalsRowDxfId="73" dataCellStyle="Comma"/>
    <tableColumn id="31" xr3:uid="{81D93D84-9951-4BCA-8794-1A846E256361}" name="หัก ณ ที่จ่าย_x000a_(ค่าติตั้ง)" totalsRowDxfId="72"/>
    <tableColumn id="30" xr3:uid="{7C8640FD-82A9-4D16-A296-5D144ECD0C1F}" name="มูลค่าหัก 3%_x000a_(ค่าติดตั้ง)" totalsRowDxfId="71"/>
    <tableColumn id="32" xr3:uid="{30DB91D5-408A-49E0-98F5-877236EC415F}" name="ค่าเชื่อมสัญญาณ/_x000a_ค่าติดตั้ง/_x000a_ค่าขายอุปกรณ์_x000a_(เรียกเก็บสุทธิ)"/>
    <tableColumn id="8" xr3:uid="{3A93194E-260A-40B9-9FBF-008409553371}" name="ต้นทุน" dataDxfId="70"/>
    <tableColumn id="15" xr3:uid="{EF0497B7-59F3-4306-A5C1-08BEA2CF0E85}" name="ส่วนต่างกำไร" dataDxfId="69" dataCellStyle="Comma"/>
    <tableColumn id="6" xr3:uid="{43A73351-F329-4C6C-8D46-8406F3275AF6}" name="คอมฯ_x000a_ 5%" dataDxfId="68" totalsRowDxfId="67" dataCellStyle="Comma"/>
    <tableColumn id="26" xr3:uid="{758CBD6F-DD47-4531-8868-34976B0F62D4}" name="คอมฯ_x000a_10%" dataDxfId="66" totalsRowDxfId="65" dataCellStyle="Comma"/>
    <tableColumn id="16" xr3:uid="{78ACD765-640C-4D43-AC13-54384C4A941E}" name="Total_x000a_ค่าเชื่มสัญญาณ/ค่าติดตั้ง/_x000a_ค่าขายอุปกรณ์_x000a_(2)" dataDxfId="64" totalsRowDxfId="63" dataCellStyle="Comma"/>
    <tableColumn id="11" xr3:uid="{8011303A-D1A5-446B-B527-C3286D436110}" name="ค่าเชื่อมสัญญาณ" dataDxfId="62" totalsRowDxfId="61" dataCellStyle="Comma"/>
    <tableColumn id="35" xr3:uid="{FB852967-4C58-463A-91B0-E98097B6FA71}" name="หัก ณ ที่จ่าย_x000a_(ค่าเชื่อมสัญญาณ)" totalsRowDxfId="60"/>
    <tableColumn id="34" xr3:uid="{55AA47FC-A38B-4C13-9051-F3DF95C24ED9}" name="มูลค่าหัก 3%_x000a_(ค่าเชื่อมสัญญาณ)" totalsRowDxfId="59"/>
    <tableColumn id="33" xr3:uid="{2E84EB8F-6C92-4D66-AC15-493FC20C46C3}" name="ค่าเชื่อมสัญญาณ_x000a_(เรียกเก็บสุทธิ)" totalsRowDxfId="58"/>
    <tableColumn id="14" xr3:uid="{714892B4-1AAA-47F9-97C0-DB9B6A097513}" name="Total _x000a_คอมฯค่าเชื่อมสัญญาณ_x000a_(3)" dataDxfId="57" totalsRowDxfId="56" dataCellStyle="Comma"/>
    <tableColumn id="13" xr3:uid="{01E93865-3399-4061-A66D-18E027C46EBE}" name="รวมค่าคอมฯ" dataDxfId="55" totalsRowDxfId="54" dataCellStyle="Comma"/>
    <tableColumn id="3" xr3:uid="{E3C14B63-3A8F-4A86-98D8-22F73FF5717A}" name="เลขที่ใบกำกับ/ใบเสร็จรับเงิน" dataDxfId="53" totalsRowDxfId="52"/>
    <tableColumn id="29" xr3:uid="{19195CF2-9F31-4094-B7B0-522E55CE71CA}" name="เลขที่นำส่งเงิน_x000a_" dataDxfId="51" totalsRowDxfId="50"/>
    <tableColumn id="4" xr3:uid="{55D2584C-42D9-4C3B-B911-8FF4B7984098}" name="เขตการขาย" dataDxfId="49" totalsRowDxfId="48"/>
    <tableColumn id="12" xr3:uid="{23D9706D-4622-457E-9E38-B7755D1A566A}" name="Column1"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2" sqref="C12"/>
    </sheetView>
  </sheetViews>
  <sheetFormatPr defaultRowHeight="13.2"/>
  <cols>
    <col min="1" max="1" width="8.88671875" style="337"/>
    <col min="2" max="2" width="26.44140625" bestFit="1" customWidth="1"/>
    <col min="3" max="3" width="29.21875" bestFit="1" customWidth="1"/>
    <col min="6" max="6" width="10.88671875" customWidth="1"/>
  </cols>
  <sheetData>
    <row r="1" spans="1:7" ht="26.4">
      <c r="B1" s="342" t="s">
        <v>55</v>
      </c>
      <c r="C1" s="386" t="s">
        <v>48</v>
      </c>
      <c r="D1" s="401" t="s">
        <v>185</v>
      </c>
      <c r="F1" s="400" t="s">
        <v>182</v>
      </c>
      <c r="G1" s="400" t="s">
        <v>198</v>
      </c>
    </row>
    <row r="2" spans="1:7" ht="13.8">
      <c r="A2" s="337" t="s">
        <v>153</v>
      </c>
      <c r="B2" s="338" t="s">
        <v>70</v>
      </c>
      <c r="C2" s="387" t="s">
        <v>45</v>
      </c>
      <c r="D2" s="339" t="s">
        <v>186</v>
      </c>
      <c r="F2" s="398">
        <v>45566</v>
      </c>
      <c r="G2" s="399">
        <v>6.6000000000000003E-2</v>
      </c>
    </row>
    <row r="3" spans="1:7" ht="13.8">
      <c r="A3" s="337" t="s">
        <v>153</v>
      </c>
      <c r="B3" s="338" t="s">
        <v>71</v>
      </c>
      <c r="C3" s="387" t="s">
        <v>46</v>
      </c>
      <c r="D3" s="338" t="s">
        <v>187</v>
      </c>
      <c r="F3" s="398">
        <v>45597</v>
      </c>
      <c r="G3" s="340"/>
    </row>
    <row r="4" spans="1:7" ht="13.8">
      <c r="A4" s="337" t="s">
        <v>153</v>
      </c>
      <c r="B4" s="338" t="s">
        <v>73</v>
      </c>
      <c r="C4" s="387" t="s">
        <v>204</v>
      </c>
      <c r="F4" s="398">
        <v>45627</v>
      </c>
      <c r="G4" s="340"/>
    </row>
    <row r="5" spans="1:7" ht="13.8">
      <c r="A5" s="337" t="s">
        <v>17</v>
      </c>
      <c r="B5" s="338" t="s">
        <v>74</v>
      </c>
      <c r="C5" s="387" t="s">
        <v>205</v>
      </c>
      <c r="F5" s="398">
        <v>45658</v>
      </c>
      <c r="G5" s="340"/>
    </row>
    <row r="6" spans="1:7" ht="13.8">
      <c r="A6" s="337" t="s">
        <v>17</v>
      </c>
      <c r="B6" s="338" t="s">
        <v>75</v>
      </c>
      <c r="C6" s="339" t="s">
        <v>154</v>
      </c>
      <c r="F6" s="398">
        <v>45689</v>
      </c>
      <c r="G6" s="340"/>
    </row>
    <row r="7" spans="1:7" ht="13.8">
      <c r="A7" s="337" t="s">
        <v>17</v>
      </c>
      <c r="B7" s="338" t="s">
        <v>152</v>
      </c>
      <c r="C7" s="339" t="s">
        <v>155</v>
      </c>
      <c r="F7" s="398">
        <v>45717</v>
      </c>
      <c r="G7" s="340"/>
    </row>
    <row r="8" spans="1:7" ht="13.8">
      <c r="A8" s="337" t="s">
        <v>17</v>
      </c>
      <c r="B8" s="338" t="s">
        <v>130</v>
      </c>
      <c r="C8" s="339" t="s">
        <v>59</v>
      </c>
      <c r="F8" s="398">
        <v>45748</v>
      </c>
      <c r="G8" s="340"/>
    </row>
    <row r="9" spans="1:7" ht="13.8">
      <c r="A9" s="337" t="s">
        <v>17</v>
      </c>
      <c r="B9" s="338" t="s">
        <v>151</v>
      </c>
      <c r="C9" s="339" t="s">
        <v>54</v>
      </c>
      <c r="F9" s="398">
        <v>45778</v>
      </c>
      <c r="G9" s="340"/>
    </row>
    <row r="10" spans="1:7" ht="13.8">
      <c r="A10" s="337" t="s">
        <v>78</v>
      </c>
      <c r="B10" s="338" t="s">
        <v>72</v>
      </c>
      <c r="C10" s="339" t="s">
        <v>49</v>
      </c>
      <c r="F10" s="398">
        <v>45809</v>
      </c>
      <c r="G10" s="340"/>
    </row>
    <row r="11" spans="1:7" ht="13.8">
      <c r="A11" s="337" t="s">
        <v>78</v>
      </c>
      <c r="B11" s="340" t="s">
        <v>68</v>
      </c>
      <c r="C11" s="339" t="s">
        <v>50</v>
      </c>
      <c r="F11" s="398">
        <v>45839</v>
      </c>
      <c r="G11" s="340"/>
    </row>
    <row r="12" spans="1:7" ht="13.8">
      <c r="A12" s="337" t="s">
        <v>78</v>
      </c>
      <c r="B12" s="338" t="s">
        <v>67</v>
      </c>
      <c r="C12" s="339" t="s">
        <v>51</v>
      </c>
    </row>
    <row r="13" spans="1:7" ht="13.8">
      <c r="A13" s="337" t="s">
        <v>78</v>
      </c>
      <c r="B13" s="338" t="s">
        <v>69</v>
      </c>
      <c r="C13" s="339" t="s">
        <v>52</v>
      </c>
    </row>
    <row r="14" spans="1:7" ht="13.8">
      <c r="A14" s="337" t="s">
        <v>78</v>
      </c>
      <c r="B14" s="338" t="s">
        <v>90</v>
      </c>
      <c r="C14" s="339" t="s">
        <v>47</v>
      </c>
    </row>
    <row r="15" spans="1:7" ht="13.8">
      <c r="B15" s="340" t="s">
        <v>21</v>
      </c>
      <c r="C15" s="339" t="s">
        <v>53</v>
      </c>
    </row>
    <row r="16" spans="1:7" ht="13.8">
      <c r="B16" s="340" t="s">
        <v>56</v>
      </c>
      <c r="C16" s="339" t="s">
        <v>96</v>
      </c>
    </row>
    <row r="17" spans="2:3" ht="13.8">
      <c r="B17" s="340" t="s">
        <v>18</v>
      </c>
      <c r="C17" s="113"/>
    </row>
    <row r="18" spans="2:3">
      <c r="B18" s="3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N72"/>
  <sheetViews>
    <sheetView zoomScale="55" zoomScaleNormal="55" workbookViewId="0">
      <pane xSplit="6" ySplit="6" topLeftCell="X7" activePane="bottomRight" state="frozen"/>
      <selection pane="topRight" activeCell="G1" sqref="G1"/>
      <selection pane="bottomLeft" activeCell="A7" sqref="A7"/>
      <selection pane="bottomRight" activeCell="AB68" sqref="AB68"/>
    </sheetView>
  </sheetViews>
  <sheetFormatPr defaultColWidth="0" defaultRowHeight="0" customHeight="1" zeroHeight="1"/>
  <cols>
    <col min="1" max="1" width="8.109375" style="507" customWidth="1"/>
    <col min="2" max="2" width="13.21875" style="572" customWidth="1"/>
    <col min="3" max="3" width="19.33203125" style="507" bestFit="1" customWidth="1"/>
    <col min="4" max="4" width="46.77734375" style="641" customWidth="1"/>
    <col min="5" max="5" width="21" style="640" customWidth="1"/>
    <col min="6" max="6" width="16.6640625" style="572" customWidth="1"/>
    <col min="7" max="7" width="12.109375" style="573" customWidth="1"/>
    <col min="8" max="8" width="17" style="673" customWidth="1"/>
    <col min="9" max="9" width="14.77734375" style="522" customWidth="1"/>
    <col min="10" max="11" width="14.6640625" style="574" customWidth="1"/>
    <col min="12" max="12" width="14.5546875" style="575" customWidth="1"/>
    <col min="13" max="13" width="17.109375" style="575" customWidth="1"/>
    <col min="14" max="14" width="19.5546875" style="574" customWidth="1"/>
    <col min="15" max="15" width="21.5546875" style="576" customWidth="1"/>
    <col min="16" max="16" width="10.77734375" style="577" customWidth="1"/>
    <col min="17" max="17" width="25.5546875" style="577" customWidth="1"/>
    <col min="18" max="21" width="15.77734375" style="763" customWidth="1"/>
    <col min="22" max="22" width="19.33203125" style="156" customWidth="1"/>
    <col min="23" max="23" width="10.33203125" style="413" customWidth="1"/>
    <col min="24" max="24" width="17.77734375" style="413" customWidth="1"/>
    <col min="25" max="25" width="19.33203125" style="156" customWidth="1"/>
    <col min="26" max="26" width="21.109375" style="156" customWidth="1"/>
    <col min="27" max="27" width="21.88671875" style="413" customWidth="1"/>
    <col min="28" max="29" width="17.33203125" style="578" customWidth="1"/>
    <col min="30" max="30" width="22.6640625" style="576" customWidth="1"/>
    <col min="31" max="31" width="19.33203125" style="332" customWidth="1"/>
    <col min="32" max="32" width="11.21875" style="416" customWidth="1"/>
    <col min="33" max="33" width="12.6640625" style="416" customWidth="1"/>
    <col min="34" max="34" width="19.33203125" style="157" customWidth="1"/>
    <col min="35" max="35" width="20.44140625" style="332" customWidth="1"/>
    <col min="36" max="36" width="20.109375" style="521" customWidth="1"/>
    <col min="37" max="37" width="24" style="578" customWidth="1"/>
    <col min="38" max="38" width="22" style="578" customWidth="1"/>
    <col min="39" max="39" width="17" style="523" customWidth="1"/>
    <col min="40" max="40" width="32.33203125" style="582" customWidth="1"/>
    <col min="41" max="43" width="15.33203125" style="507" customWidth="1"/>
    <col min="44" max="44" width="17" style="507" customWidth="1"/>
    <col min="45" max="45" width="0" style="507" hidden="1"/>
    <col min="46" max="47" width="15.5546875" style="507" customWidth="1"/>
    <col min="48" max="48" width="13.6640625" style="507" customWidth="1"/>
    <col min="49" max="49" width="9" style="507" customWidth="1"/>
    <col min="50" max="50" width="49.88671875" style="507" customWidth="1"/>
    <col min="51" max="51" width="0" style="507" hidden="1"/>
    <col min="52" max="53" width="15.88671875" style="507" customWidth="1"/>
    <col min="54" max="54" width="14.5546875" style="507" customWidth="1"/>
    <col min="55" max="55" width="16.33203125" style="507" customWidth="1"/>
    <col min="56" max="56" width="18.109375" style="507" customWidth="1"/>
    <col min="57" max="57" width="14.109375" style="507" customWidth="1"/>
    <col min="58" max="284" width="0" style="507" hidden="1"/>
    <col min="285" max="285" width="7.5546875" style="507" customWidth="1"/>
    <col min="286" max="286" width="36.77734375" style="507" customWidth="1"/>
    <col min="287" max="288" width="0" style="507" hidden="1"/>
    <col min="289" max="289" width="16.6640625" style="507" customWidth="1"/>
    <col min="290" max="290" width="17.33203125" style="507" customWidth="1"/>
    <col min="291" max="291" width="15.5546875" style="507" customWidth="1"/>
    <col min="292" max="292" width="0" style="507" hidden="1"/>
    <col min="293" max="293" width="16.6640625" style="507" customWidth="1"/>
    <col min="294" max="294" width="17.44140625" style="507" customWidth="1"/>
    <col min="295" max="296" width="0" style="507" hidden="1"/>
    <col min="297" max="299" width="15.33203125" style="507" customWidth="1"/>
    <col min="300" max="300" width="17" style="507" customWidth="1"/>
    <col min="301" max="301" width="0" style="507" hidden="1"/>
    <col min="302" max="303" width="15.5546875" style="507" customWidth="1"/>
    <col min="304" max="304" width="13.6640625" style="507" customWidth="1"/>
    <col min="305" max="305" width="9" style="507" customWidth="1"/>
    <col min="306" max="306" width="49.88671875" style="507" customWidth="1"/>
    <col min="307" max="307" width="0" style="507" hidden="1"/>
    <col min="308" max="309" width="15.88671875" style="507" customWidth="1"/>
    <col min="310" max="310" width="14.5546875" style="507" customWidth="1"/>
    <col min="311" max="311" width="16.33203125" style="507" customWidth="1"/>
    <col min="312" max="312" width="18.109375" style="507" customWidth="1"/>
    <col min="313" max="313" width="14.109375" style="507" customWidth="1"/>
    <col min="314" max="540" width="0" style="507" hidden="1"/>
    <col min="541" max="541" width="7.5546875" style="507" customWidth="1"/>
    <col min="542" max="542" width="36.77734375" style="507" customWidth="1"/>
    <col min="543" max="544" width="0" style="507" hidden="1"/>
    <col min="545" max="545" width="16.6640625" style="507" customWidth="1"/>
    <col min="546" max="546" width="17.33203125" style="507" customWidth="1"/>
    <col min="547" max="547" width="15.5546875" style="507" customWidth="1"/>
    <col min="548" max="548" width="0" style="507" hidden="1"/>
    <col min="549" max="549" width="16.6640625" style="507" customWidth="1"/>
    <col min="550" max="550" width="17.44140625" style="507" customWidth="1"/>
    <col min="551" max="552" width="0" style="507" hidden="1"/>
    <col min="553" max="555" width="15.33203125" style="507" customWidth="1"/>
    <col min="556" max="556" width="17" style="507" customWidth="1"/>
    <col min="557" max="557" width="0" style="507" hidden="1"/>
    <col min="558" max="559" width="15.5546875" style="507" customWidth="1"/>
    <col min="560" max="560" width="13.6640625" style="507" customWidth="1"/>
    <col min="561" max="561" width="9" style="507" customWidth="1"/>
    <col min="562" max="562" width="49.88671875" style="507" customWidth="1"/>
    <col min="563" max="563" width="0" style="507" hidden="1"/>
    <col min="564" max="565" width="15.88671875" style="507" customWidth="1"/>
    <col min="566" max="566" width="14.5546875" style="507" customWidth="1"/>
    <col min="567" max="567" width="16.33203125" style="507" customWidth="1"/>
    <col min="568" max="568" width="18.109375" style="507" customWidth="1"/>
    <col min="569" max="569" width="14.109375" style="507" customWidth="1"/>
    <col min="570" max="796" width="0" style="507" hidden="1"/>
    <col min="797" max="797" width="7.5546875" style="507" customWidth="1"/>
    <col min="798" max="798" width="36.77734375" style="507" customWidth="1"/>
    <col min="799" max="800" width="0" style="507" hidden="1"/>
    <col min="801" max="801" width="16.6640625" style="507" customWidth="1"/>
    <col min="802" max="802" width="17.33203125" style="507" customWidth="1"/>
    <col min="803" max="803" width="15.5546875" style="507" customWidth="1"/>
    <col min="804" max="804" width="0" style="507" hidden="1"/>
    <col min="805" max="805" width="16.6640625" style="507" customWidth="1"/>
    <col min="806" max="806" width="17.44140625" style="507" customWidth="1"/>
    <col min="807" max="808" width="0" style="507" hidden="1"/>
    <col min="809" max="811" width="15.33203125" style="507" customWidth="1"/>
    <col min="812" max="812" width="17" style="507" customWidth="1"/>
    <col min="813" max="813" width="0" style="507" hidden="1"/>
    <col min="814" max="815" width="15.5546875" style="507" customWidth="1"/>
    <col min="816" max="816" width="13.6640625" style="507" customWidth="1"/>
    <col min="817" max="817" width="9" style="507" customWidth="1"/>
    <col min="818" max="818" width="49.88671875" style="507" customWidth="1"/>
    <col min="819" max="819" width="0" style="507" hidden="1"/>
    <col min="820" max="821" width="15.88671875" style="507" customWidth="1"/>
    <col min="822" max="822" width="14.5546875" style="507" customWidth="1"/>
    <col min="823" max="823" width="16.33203125" style="507" customWidth="1"/>
    <col min="824" max="824" width="18.109375" style="507" customWidth="1"/>
    <col min="825" max="825" width="14.109375" style="507" customWidth="1"/>
    <col min="826" max="1052" width="0" style="507" hidden="1"/>
    <col min="1053" max="1053" width="7.5546875" style="507" customWidth="1"/>
    <col min="1054" max="1054" width="36.77734375" style="507" customWidth="1"/>
    <col min="1055" max="1056" width="0" style="507" hidden="1"/>
    <col min="1057" max="1057" width="16.6640625" style="507" customWidth="1"/>
    <col min="1058" max="1058" width="17.33203125" style="507" customWidth="1"/>
    <col min="1059" max="1059" width="15.5546875" style="507" customWidth="1"/>
    <col min="1060" max="1060" width="0" style="507" hidden="1"/>
    <col min="1061" max="1061" width="16.6640625" style="507" customWidth="1"/>
    <col min="1062" max="1062" width="17.44140625" style="507" customWidth="1"/>
    <col min="1063" max="1064" width="0" style="507" hidden="1"/>
    <col min="1065" max="1067" width="15.33203125" style="507" customWidth="1"/>
    <col min="1068" max="1068" width="17" style="507" customWidth="1"/>
    <col min="1069" max="1069" width="0" style="507" hidden="1"/>
    <col min="1070" max="1071" width="15.5546875" style="507" customWidth="1"/>
    <col min="1072" max="1072" width="13.6640625" style="507" customWidth="1"/>
    <col min="1073" max="1073" width="9" style="507" customWidth="1"/>
    <col min="1074" max="1074" width="49.88671875" style="507" customWidth="1"/>
    <col min="1075" max="1075" width="0" style="507" hidden="1"/>
    <col min="1076" max="1077" width="15.88671875" style="507" customWidth="1"/>
    <col min="1078" max="1078" width="14.5546875" style="507" customWidth="1"/>
    <col min="1079" max="1079" width="16.33203125" style="507" customWidth="1"/>
    <col min="1080" max="1080" width="18.109375" style="507" customWidth="1"/>
    <col min="1081" max="1081" width="14.109375" style="507" customWidth="1"/>
    <col min="1082" max="1308" width="0" style="507" hidden="1"/>
    <col min="1309" max="1309" width="7.5546875" style="507" customWidth="1"/>
    <col min="1310" max="1310" width="36.77734375" style="507" customWidth="1"/>
    <col min="1311" max="1312" width="0" style="507" hidden="1"/>
    <col min="1313" max="1313" width="16.6640625" style="507" customWidth="1"/>
    <col min="1314" max="1314" width="17.33203125" style="507" customWidth="1"/>
    <col min="1315" max="1315" width="15.5546875" style="507" customWidth="1"/>
    <col min="1316" max="1316" width="0" style="507" hidden="1"/>
    <col min="1317" max="1317" width="16.6640625" style="507" customWidth="1"/>
    <col min="1318" max="1318" width="17.44140625" style="507" customWidth="1"/>
    <col min="1319" max="1320" width="0" style="507" hidden="1"/>
    <col min="1321" max="1323" width="15.33203125" style="507" customWidth="1"/>
    <col min="1324" max="1324" width="17" style="507" customWidth="1"/>
    <col min="1325" max="1325" width="0" style="507" hidden="1"/>
    <col min="1326" max="1327" width="15.5546875" style="507" customWidth="1"/>
    <col min="1328" max="1328" width="13.6640625" style="507" customWidth="1"/>
    <col min="1329" max="1329" width="9" style="507" customWidth="1"/>
    <col min="1330" max="1330" width="49.88671875" style="507" customWidth="1"/>
    <col min="1331" max="1331" width="0" style="507" hidden="1"/>
    <col min="1332" max="1333" width="15.88671875" style="507" customWidth="1"/>
    <col min="1334" max="1334" width="14.5546875" style="507" customWidth="1"/>
    <col min="1335" max="1335" width="16.33203125" style="507" customWidth="1"/>
    <col min="1336" max="1336" width="18.109375" style="507" customWidth="1"/>
    <col min="1337" max="1337" width="14.109375" style="507" customWidth="1"/>
    <col min="1338" max="1564" width="0" style="507" hidden="1"/>
    <col min="1565" max="1565" width="7.5546875" style="507" customWidth="1"/>
    <col min="1566" max="1566" width="36.77734375" style="507" customWidth="1"/>
    <col min="1567" max="1568" width="0" style="507" hidden="1"/>
    <col min="1569" max="1569" width="16.6640625" style="507" customWidth="1"/>
    <col min="1570" max="1570" width="17.33203125" style="507" customWidth="1"/>
    <col min="1571" max="1571" width="15.5546875" style="507" customWidth="1"/>
    <col min="1572" max="1572" width="0" style="507" hidden="1"/>
    <col min="1573" max="1573" width="16.6640625" style="507" customWidth="1"/>
    <col min="1574" max="1574" width="17.44140625" style="507" customWidth="1"/>
    <col min="1575" max="1576" width="0" style="507" hidden="1"/>
    <col min="1577" max="1579" width="15.33203125" style="507" customWidth="1"/>
    <col min="1580" max="1580" width="17" style="507" customWidth="1"/>
    <col min="1581" max="1581" width="0" style="507" hidden="1"/>
    <col min="1582" max="1583" width="15.5546875" style="507" customWidth="1"/>
    <col min="1584" max="1584" width="13.6640625" style="507" customWidth="1"/>
    <col min="1585" max="1585" width="9" style="507" customWidth="1"/>
    <col min="1586" max="1586" width="49.88671875" style="507" customWidth="1"/>
    <col min="1587" max="1587" width="0" style="507" hidden="1"/>
    <col min="1588" max="1589" width="15.88671875" style="507" customWidth="1"/>
    <col min="1590" max="1590" width="14.5546875" style="507" customWidth="1"/>
    <col min="1591" max="1591" width="16.33203125" style="507" customWidth="1"/>
    <col min="1592" max="1592" width="18.109375" style="507" customWidth="1"/>
    <col min="1593" max="1593" width="14.109375" style="507" customWidth="1"/>
    <col min="1594" max="1820" width="0" style="507" hidden="1"/>
    <col min="1821" max="1821" width="7.5546875" style="507" customWidth="1"/>
    <col min="1822" max="1822" width="36.77734375" style="507" customWidth="1"/>
    <col min="1823" max="1824" width="0" style="507" hidden="1"/>
    <col min="1825" max="1825" width="16.6640625" style="507" customWidth="1"/>
    <col min="1826" max="1826" width="17.33203125" style="507" customWidth="1"/>
    <col min="1827" max="1827" width="15.5546875" style="507" customWidth="1"/>
    <col min="1828" max="1828" width="0" style="507" hidden="1"/>
    <col min="1829" max="1829" width="16.6640625" style="507" customWidth="1"/>
    <col min="1830" max="1830" width="17.44140625" style="507" customWidth="1"/>
    <col min="1831" max="1832" width="0" style="507" hidden="1"/>
    <col min="1833" max="1835" width="15.33203125" style="507" customWidth="1"/>
    <col min="1836" max="1836" width="17" style="507" customWidth="1"/>
    <col min="1837" max="1837" width="0" style="507" hidden="1"/>
    <col min="1838" max="1839" width="15.5546875" style="507" customWidth="1"/>
    <col min="1840" max="1840" width="13.6640625" style="507" customWidth="1"/>
    <col min="1841" max="1841" width="9" style="507" customWidth="1"/>
    <col min="1842" max="1842" width="49.88671875" style="507" customWidth="1"/>
    <col min="1843" max="1843" width="0" style="507" hidden="1"/>
    <col min="1844" max="1845" width="15.88671875" style="507" customWidth="1"/>
    <col min="1846" max="1846" width="14.5546875" style="507" customWidth="1"/>
    <col min="1847" max="1847" width="16.33203125" style="507" customWidth="1"/>
    <col min="1848" max="1848" width="18.109375" style="507" customWidth="1"/>
    <col min="1849" max="1849" width="14.109375" style="507" customWidth="1"/>
    <col min="1850" max="2076" width="0" style="507" hidden="1"/>
    <col min="2077" max="2077" width="7.5546875" style="507" customWidth="1"/>
    <col min="2078" max="2078" width="36.77734375" style="507" customWidth="1"/>
    <col min="2079" max="2080" width="0" style="507" hidden="1"/>
    <col min="2081" max="2081" width="16.6640625" style="507" customWidth="1"/>
    <col min="2082" max="2082" width="17.33203125" style="507" customWidth="1"/>
    <col min="2083" max="2083" width="15.5546875" style="507" customWidth="1"/>
    <col min="2084" max="2084" width="0" style="507" hidden="1"/>
    <col min="2085" max="2085" width="16.6640625" style="507" customWidth="1"/>
    <col min="2086" max="2086" width="17.44140625" style="507" customWidth="1"/>
    <col min="2087" max="2088" width="0" style="507" hidden="1"/>
    <col min="2089" max="2091" width="15.33203125" style="507" customWidth="1"/>
    <col min="2092" max="2092" width="17" style="507" customWidth="1"/>
    <col min="2093" max="2093" width="0" style="507" hidden="1"/>
    <col min="2094" max="2095" width="15.5546875" style="507" customWidth="1"/>
    <col min="2096" max="2096" width="13.6640625" style="507" customWidth="1"/>
    <col min="2097" max="2097" width="9" style="507" customWidth="1"/>
    <col min="2098" max="2098" width="49.88671875" style="507" customWidth="1"/>
    <col min="2099" max="2099" width="0" style="507" hidden="1"/>
    <col min="2100" max="2101" width="15.88671875" style="507" customWidth="1"/>
    <col min="2102" max="2102" width="14.5546875" style="507" customWidth="1"/>
    <col min="2103" max="2103" width="16.33203125" style="507" customWidth="1"/>
    <col min="2104" max="2104" width="18.109375" style="507" customWidth="1"/>
    <col min="2105" max="2105" width="14.109375" style="507" customWidth="1"/>
    <col min="2106" max="2332" width="0" style="507" hidden="1"/>
    <col min="2333" max="2333" width="7.5546875" style="507" customWidth="1"/>
    <col min="2334" max="2334" width="36.77734375" style="507" customWidth="1"/>
    <col min="2335" max="2336" width="0" style="507" hidden="1"/>
    <col min="2337" max="2337" width="16.6640625" style="507" customWidth="1"/>
    <col min="2338" max="2338" width="17.33203125" style="507" customWidth="1"/>
    <col min="2339" max="2339" width="15.5546875" style="507" customWidth="1"/>
    <col min="2340" max="2340" width="0" style="507" hidden="1"/>
    <col min="2341" max="2341" width="16.6640625" style="507" customWidth="1"/>
    <col min="2342" max="2342" width="17.44140625" style="507" customWidth="1"/>
    <col min="2343" max="2344" width="0" style="507" hidden="1"/>
    <col min="2345" max="2347" width="15.33203125" style="507" customWidth="1"/>
    <col min="2348" max="2348" width="17" style="507" customWidth="1"/>
    <col min="2349" max="2349" width="0" style="507" hidden="1"/>
    <col min="2350" max="2351" width="15.5546875" style="507" customWidth="1"/>
    <col min="2352" max="2352" width="13.6640625" style="507" customWidth="1"/>
    <col min="2353" max="2353" width="9" style="507" customWidth="1"/>
    <col min="2354" max="2354" width="49.88671875" style="507" customWidth="1"/>
    <col min="2355" max="2355" width="0" style="507" hidden="1"/>
    <col min="2356" max="2357" width="15.88671875" style="507" customWidth="1"/>
    <col min="2358" max="2358" width="14.5546875" style="507" customWidth="1"/>
    <col min="2359" max="2359" width="16.33203125" style="507" customWidth="1"/>
    <col min="2360" max="2360" width="18.109375" style="507" customWidth="1"/>
    <col min="2361" max="2361" width="14.109375" style="507" customWidth="1"/>
    <col min="2362" max="2588" width="0" style="507" hidden="1"/>
    <col min="2589" max="2589" width="7.5546875" style="507" customWidth="1"/>
    <col min="2590" max="2590" width="36.77734375" style="507" customWidth="1"/>
    <col min="2591" max="2592" width="0" style="507" hidden="1"/>
    <col min="2593" max="2593" width="16.6640625" style="507" customWidth="1"/>
    <col min="2594" max="2594" width="17.33203125" style="507" customWidth="1"/>
    <col min="2595" max="2595" width="15.5546875" style="507" customWidth="1"/>
    <col min="2596" max="2596" width="0" style="507" hidden="1"/>
    <col min="2597" max="2597" width="16.6640625" style="507" customWidth="1"/>
    <col min="2598" max="2598" width="17.44140625" style="507" customWidth="1"/>
    <col min="2599" max="2600" width="0" style="507" hidden="1"/>
    <col min="2601" max="2603" width="15.33203125" style="507" customWidth="1"/>
    <col min="2604" max="2604" width="17" style="507" customWidth="1"/>
    <col min="2605" max="2605" width="0" style="507" hidden="1"/>
    <col min="2606" max="2607" width="15.5546875" style="507" customWidth="1"/>
    <col min="2608" max="2608" width="13.6640625" style="507" customWidth="1"/>
    <col min="2609" max="2609" width="9" style="507" customWidth="1"/>
    <col min="2610" max="2610" width="49.88671875" style="507" customWidth="1"/>
    <col min="2611" max="2611" width="0" style="507" hidden="1"/>
    <col min="2612" max="2613" width="15.88671875" style="507" customWidth="1"/>
    <col min="2614" max="2614" width="14.5546875" style="507" customWidth="1"/>
    <col min="2615" max="2615" width="16.33203125" style="507" customWidth="1"/>
    <col min="2616" max="2616" width="18.109375" style="507" customWidth="1"/>
    <col min="2617" max="2617" width="14.109375" style="507" customWidth="1"/>
    <col min="2618" max="2844" width="0" style="507" hidden="1"/>
    <col min="2845" max="2845" width="7.5546875" style="507" customWidth="1"/>
    <col min="2846" max="2846" width="36.77734375" style="507" customWidth="1"/>
    <col min="2847" max="2848" width="0" style="507" hidden="1"/>
    <col min="2849" max="2849" width="16.6640625" style="507" customWidth="1"/>
    <col min="2850" max="2850" width="17.33203125" style="507" customWidth="1"/>
    <col min="2851" max="2851" width="15.5546875" style="507" customWidth="1"/>
    <col min="2852" max="2852" width="0" style="507" hidden="1"/>
    <col min="2853" max="2853" width="16.6640625" style="507" customWidth="1"/>
    <col min="2854" max="2854" width="17.44140625" style="507" customWidth="1"/>
    <col min="2855" max="2856" width="0" style="507" hidden="1"/>
    <col min="2857" max="2859" width="15.33203125" style="507" customWidth="1"/>
    <col min="2860" max="2860" width="17" style="507" customWidth="1"/>
    <col min="2861" max="2861" width="0" style="507" hidden="1"/>
    <col min="2862" max="2863" width="15.5546875" style="507" customWidth="1"/>
    <col min="2864" max="2864" width="13.6640625" style="507" customWidth="1"/>
    <col min="2865" max="2865" width="9" style="507" customWidth="1"/>
    <col min="2866" max="2866" width="49.88671875" style="507" customWidth="1"/>
    <col min="2867" max="2867" width="0" style="507" hidden="1"/>
    <col min="2868" max="2869" width="15.88671875" style="507" customWidth="1"/>
    <col min="2870" max="2870" width="14.5546875" style="507" customWidth="1"/>
    <col min="2871" max="2871" width="16.33203125" style="507" customWidth="1"/>
    <col min="2872" max="2872" width="18.109375" style="507" customWidth="1"/>
    <col min="2873" max="2873" width="14.109375" style="507" customWidth="1"/>
    <col min="2874" max="3100" width="0" style="507" hidden="1"/>
    <col min="3101" max="3101" width="7.5546875" style="507" customWidth="1"/>
    <col min="3102" max="3102" width="36.77734375" style="507" customWidth="1"/>
    <col min="3103" max="3104" width="0" style="507" hidden="1"/>
    <col min="3105" max="3105" width="16.6640625" style="507" customWidth="1"/>
    <col min="3106" max="3106" width="17.33203125" style="507" customWidth="1"/>
    <col min="3107" max="3107" width="15.5546875" style="507" customWidth="1"/>
    <col min="3108" max="3108" width="0" style="507" hidden="1"/>
    <col min="3109" max="3109" width="16.6640625" style="507" customWidth="1"/>
    <col min="3110" max="3110" width="17.44140625" style="507" customWidth="1"/>
    <col min="3111" max="3112" width="0" style="507" hidden="1"/>
    <col min="3113" max="3115" width="15.33203125" style="507" customWidth="1"/>
    <col min="3116" max="3116" width="17" style="507" customWidth="1"/>
    <col min="3117" max="3117" width="0" style="507" hidden="1"/>
    <col min="3118" max="3119" width="15.5546875" style="507" customWidth="1"/>
    <col min="3120" max="3120" width="13.6640625" style="507" customWidth="1"/>
    <col min="3121" max="3121" width="9" style="507" customWidth="1"/>
    <col min="3122" max="3122" width="49.88671875" style="507" customWidth="1"/>
    <col min="3123" max="3123" width="0" style="507" hidden="1"/>
    <col min="3124" max="3125" width="15.88671875" style="507" customWidth="1"/>
    <col min="3126" max="3126" width="14.5546875" style="507" customWidth="1"/>
    <col min="3127" max="3127" width="16.33203125" style="507" customWidth="1"/>
    <col min="3128" max="3128" width="18.109375" style="507" customWidth="1"/>
    <col min="3129" max="3129" width="14.109375" style="507" customWidth="1"/>
    <col min="3130" max="3356" width="0" style="507" hidden="1"/>
    <col min="3357" max="3357" width="7.5546875" style="507" customWidth="1"/>
    <col min="3358" max="3358" width="36.77734375" style="507" customWidth="1"/>
    <col min="3359" max="3360" width="0" style="507" hidden="1"/>
    <col min="3361" max="3361" width="16.6640625" style="507" customWidth="1"/>
    <col min="3362" max="3362" width="17.33203125" style="507" customWidth="1"/>
    <col min="3363" max="3363" width="15.5546875" style="507" customWidth="1"/>
    <col min="3364" max="3364" width="0" style="507" hidden="1"/>
    <col min="3365" max="3365" width="16.6640625" style="507" customWidth="1"/>
    <col min="3366" max="3366" width="17.44140625" style="507" customWidth="1"/>
    <col min="3367" max="3368" width="0" style="507" hidden="1"/>
    <col min="3369" max="3371" width="15.33203125" style="507" customWidth="1"/>
    <col min="3372" max="3372" width="17" style="507" customWidth="1"/>
    <col min="3373" max="3373" width="0" style="507" hidden="1"/>
    <col min="3374" max="3375" width="15.5546875" style="507" customWidth="1"/>
    <col min="3376" max="3376" width="13.6640625" style="507" customWidth="1"/>
    <col min="3377" max="3377" width="9" style="507" customWidth="1"/>
    <col min="3378" max="3378" width="49.88671875" style="507" customWidth="1"/>
    <col min="3379" max="3379" width="0" style="507" hidden="1"/>
    <col min="3380" max="3381" width="15.88671875" style="507" customWidth="1"/>
    <col min="3382" max="3382" width="14.5546875" style="507" customWidth="1"/>
    <col min="3383" max="3383" width="16.33203125" style="507" customWidth="1"/>
    <col min="3384" max="3384" width="18.109375" style="507" customWidth="1"/>
    <col min="3385" max="3385" width="14.109375" style="507" customWidth="1"/>
    <col min="3386" max="3612" width="0" style="507" hidden="1"/>
    <col min="3613" max="3613" width="7.5546875" style="507" customWidth="1"/>
    <col min="3614" max="3614" width="36.77734375" style="507" customWidth="1"/>
    <col min="3615" max="3616" width="0" style="507" hidden="1"/>
    <col min="3617" max="3617" width="16.6640625" style="507" customWidth="1"/>
    <col min="3618" max="3618" width="17.33203125" style="507" customWidth="1"/>
    <col min="3619" max="3619" width="15.5546875" style="507" customWidth="1"/>
    <col min="3620" max="3620" width="0" style="507" hidden="1"/>
    <col min="3621" max="3621" width="16.6640625" style="507" customWidth="1"/>
    <col min="3622" max="3622" width="17.44140625" style="507" customWidth="1"/>
    <col min="3623" max="3624" width="0" style="507" hidden="1"/>
    <col min="3625" max="3627" width="15.33203125" style="507" customWidth="1"/>
    <col min="3628" max="3628" width="17" style="507" customWidth="1"/>
    <col min="3629" max="3629" width="0" style="507" hidden="1"/>
    <col min="3630" max="3631" width="15.5546875" style="507" customWidth="1"/>
    <col min="3632" max="3632" width="13.6640625" style="507" customWidth="1"/>
    <col min="3633" max="3633" width="9" style="507" customWidth="1"/>
    <col min="3634" max="3634" width="49.88671875" style="507" customWidth="1"/>
    <col min="3635" max="3635" width="0" style="507" hidden="1"/>
    <col min="3636" max="3637" width="15.88671875" style="507" customWidth="1"/>
    <col min="3638" max="3638" width="14.5546875" style="507" customWidth="1"/>
    <col min="3639" max="3639" width="16.33203125" style="507" customWidth="1"/>
    <col min="3640" max="3640" width="18.109375" style="507" customWidth="1"/>
    <col min="3641" max="3641" width="14.109375" style="507" customWidth="1"/>
    <col min="3642" max="3868" width="0" style="507" hidden="1"/>
    <col min="3869" max="3869" width="7.5546875" style="507" customWidth="1"/>
    <col min="3870" max="3870" width="36.77734375" style="507" customWidth="1"/>
    <col min="3871" max="3872" width="0" style="507" hidden="1"/>
    <col min="3873" max="3873" width="16.6640625" style="507" customWidth="1"/>
    <col min="3874" max="3874" width="17.33203125" style="507" customWidth="1"/>
    <col min="3875" max="3875" width="15.5546875" style="507" customWidth="1"/>
    <col min="3876" max="3876" width="0" style="507" hidden="1"/>
    <col min="3877" max="3877" width="16.6640625" style="507" customWidth="1"/>
    <col min="3878" max="3878" width="17.44140625" style="507" customWidth="1"/>
    <col min="3879" max="3880" width="0" style="507" hidden="1"/>
    <col min="3881" max="3883" width="15.33203125" style="507" customWidth="1"/>
    <col min="3884" max="3884" width="17" style="507" customWidth="1"/>
    <col min="3885" max="3885" width="0" style="507" hidden="1"/>
    <col min="3886" max="3887" width="15.5546875" style="507" customWidth="1"/>
    <col min="3888" max="3888" width="13.6640625" style="507" customWidth="1"/>
    <col min="3889" max="3889" width="9" style="507" customWidth="1"/>
    <col min="3890" max="3890" width="49.88671875" style="507" customWidth="1"/>
    <col min="3891" max="3891" width="0" style="507" hidden="1"/>
    <col min="3892" max="3893" width="15.88671875" style="507" customWidth="1"/>
    <col min="3894" max="3894" width="14.5546875" style="507" customWidth="1"/>
    <col min="3895" max="3895" width="16.33203125" style="507" customWidth="1"/>
    <col min="3896" max="3896" width="18.109375" style="507" customWidth="1"/>
    <col min="3897" max="3897" width="14.109375" style="507" customWidth="1"/>
    <col min="3898" max="4124" width="0" style="507" hidden="1"/>
    <col min="4125" max="4125" width="7.5546875" style="507" customWidth="1"/>
    <col min="4126" max="4126" width="36.77734375" style="507" customWidth="1"/>
    <col min="4127" max="4128" width="0" style="507" hidden="1"/>
    <col min="4129" max="4129" width="16.6640625" style="507" customWidth="1"/>
    <col min="4130" max="4130" width="17.33203125" style="507" customWidth="1"/>
    <col min="4131" max="4131" width="15.5546875" style="507" customWidth="1"/>
    <col min="4132" max="4132" width="0" style="507" hidden="1"/>
    <col min="4133" max="4133" width="16.6640625" style="507" customWidth="1"/>
    <col min="4134" max="4134" width="17.44140625" style="507" customWidth="1"/>
    <col min="4135" max="4136" width="0" style="507" hidden="1"/>
    <col min="4137" max="4139" width="15.33203125" style="507" customWidth="1"/>
    <col min="4140" max="4140" width="17" style="507" customWidth="1"/>
    <col min="4141" max="4141" width="0" style="507" hidden="1"/>
    <col min="4142" max="4143" width="15.5546875" style="507" customWidth="1"/>
    <col min="4144" max="4144" width="13.6640625" style="507" customWidth="1"/>
    <col min="4145" max="4145" width="9" style="507" customWidth="1"/>
    <col min="4146" max="4146" width="49.88671875" style="507" customWidth="1"/>
    <col min="4147" max="4147" width="0" style="507" hidden="1"/>
    <col min="4148" max="4149" width="15.88671875" style="507" customWidth="1"/>
    <col min="4150" max="4150" width="14.5546875" style="507" customWidth="1"/>
    <col min="4151" max="4151" width="16.33203125" style="507" customWidth="1"/>
    <col min="4152" max="4152" width="18.109375" style="507" customWidth="1"/>
    <col min="4153" max="4153" width="14.109375" style="507" customWidth="1"/>
    <col min="4154" max="4380" width="0" style="507" hidden="1"/>
    <col min="4381" max="4381" width="7.5546875" style="507" customWidth="1"/>
    <col min="4382" max="4382" width="36.77734375" style="507" customWidth="1"/>
    <col min="4383" max="4384" width="0" style="507" hidden="1"/>
    <col min="4385" max="4385" width="16.6640625" style="507" customWidth="1"/>
    <col min="4386" max="4386" width="17.33203125" style="507" customWidth="1"/>
    <col min="4387" max="4387" width="15.5546875" style="507" customWidth="1"/>
    <col min="4388" max="4388" width="0" style="507" hidden="1"/>
    <col min="4389" max="4389" width="16.6640625" style="507" customWidth="1"/>
    <col min="4390" max="4390" width="17.44140625" style="507" customWidth="1"/>
    <col min="4391" max="4392" width="0" style="507" hidden="1"/>
    <col min="4393" max="4395" width="15.33203125" style="507" customWidth="1"/>
    <col min="4396" max="4396" width="17" style="507" customWidth="1"/>
    <col min="4397" max="4397" width="0" style="507" hidden="1"/>
    <col min="4398" max="4399" width="15.5546875" style="507" customWidth="1"/>
    <col min="4400" max="4400" width="13.6640625" style="507" customWidth="1"/>
    <col min="4401" max="4401" width="9" style="507" customWidth="1"/>
    <col min="4402" max="4402" width="49.88671875" style="507" customWidth="1"/>
    <col min="4403" max="4403" width="0" style="507" hidden="1"/>
    <col min="4404" max="4405" width="15.88671875" style="507" customWidth="1"/>
    <col min="4406" max="4406" width="14.5546875" style="507" customWidth="1"/>
    <col min="4407" max="4407" width="16.33203125" style="507" customWidth="1"/>
    <col min="4408" max="4408" width="18.109375" style="507" customWidth="1"/>
    <col min="4409" max="4409" width="14.109375" style="507" customWidth="1"/>
    <col min="4410" max="4636" width="0" style="507" hidden="1"/>
    <col min="4637" max="4637" width="7.5546875" style="507" customWidth="1"/>
    <col min="4638" max="4638" width="36.77734375" style="507" customWidth="1"/>
    <col min="4639" max="4640" width="0" style="507" hidden="1"/>
    <col min="4641" max="4641" width="16.6640625" style="507" customWidth="1"/>
    <col min="4642" max="4642" width="17.33203125" style="507" customWidth="1"/>
    <col min="4643" max="4643" width="15.5546875" style="507" customWidth="1"/>
    <col min="4644" max="4644" width="0" style="507" hidden="1"/>
    <col min="4645" max="4645" width="16.6640625" style="507" customWidth="1"/>
    <col min="4646" max="4646" width="17.44140625" style="507" customWidth="1"/>
    <col min="4647" max="4648" width="0" style="507" hidden="1"/>
    <col min="4649" max="4651" width="15.33203125" style="507" customWidth="1"/>
    <col min="4652" max="4652" width="17" style="507" customWidth="1"/>
    <col min="4653" max="4653" width="0" style="507" hidden="1"/>
    <col min="4654" max="4655" width="15.5546875" style="507" customWidth="1"/>
    <col min="4656" max="4656" width="13.6640625" style="507" customWidth="1"/>
    <col min="4657" max="4657" width="9" style="507" customWidth="1"/>
    <col min="4658" max="4658" width="49.88671875" style="507" customWidth="1"/>
    <col min="4659" max="4659" width="0" style="507" hidden="1"/>
    <col min="4660" max="4661" width="15.88671875" style="507" customWidth="1"/>
    <col min="4662" max="4662" width="14.5546875" style="507" customWidth="1"/>
    <col min="4663" max="4663" width="16.33203125" style="507" customWidth="1"/>
    <col min="4664" max="4664" width="18.109375" style="507" customWidth="1"/>
    <col min="4665" max="4665" width="14.109375" style="507" customWidth="1"/>
    <col min="4666" max="4892" width="0" style="507" hidden="1"/>
    <col min="4893" max="4893" width="7.5546875" style="507" customWidth="1"/>
    <col min="4894" max="4894" width="36.77734375" style="507" customWidth="1"/>
    <col min="4895" max="4896" width="0" style="507" hidden="1"/>
    <col min="4897" max="4897" width="16.6640625" style="507" customWidth="1"/>
    <col min="4898" max="4898" width="17.33203125" style="507" customWidth="1"/>
    <col min="4899" max="4899" width="15.5546875" style="507" customWidth="1"/>
    <col min="4900" max="4900" width="0" style="507" hidden="1"/>
    <col min="4901" max="4901" width="16.6640625" style="507" customWidth="1"/>
    <col min="4902" max="4902" width="17.44140625" style="507" customWidth="1"/>
    <col min="4903" max="4904" width="0" style="507" hidden="1"/>
    <col min="4905" max="4907" width="15.33203125" style="507" customWidth="1"/>
    <col min="4908" max="4908" width="17" style="507" customWidth="1"/>
    <col min="4909" max="4909" width="0" style="507" hidden="1"/>
    <col min="4910" max="4911" width="15.5546875" style="507" customWidth="1"/>
    <col min="4912" max="4912" width="13.6640625" style="507" customWidth="1"/>
    <col min="4913" max="4913" width="9" style="507" customWidth="1"/>
    <col min="4914" max="4914" width="49.88671875" style="507" customWidth="1"/>
    <col min="4915" max="4915" width="0" style="507" hidden="1"/>
    <col min="4916" max="4917" width="15.88671875" style="507" customWidth="1"/>
    <col min="4918" max="4918" width="14.5546875" style="507" customWidth="1"/>
    <col min="4919" max="4919" width="16.33203125" style="507" customWidth="1"/>
    <col min="4920" max="4920" width="18.109375" style="507" customWidth="1"/>
    <col min="4921" max="4921" width="14.109375" style="507" customWidth="1"/>
    <col min="4922" max="5148" width="0" style="507" hidden="1"/>
    <col min="5149" max="5149" width="7.5546875" style="507" customWidth="1"/>
    <col min="5150" max="5150" width="36.77734375" style="507" customWidth="1"/>
    <col min="5151" max="5152" width="0" style="507" hidden="1"/>
    <col min="5153" max="5153" width="16.6640625" style="507" customWidth="1"/>
    <col min="5154" max="5154" width="17.33203125" style="507" customWidth="1"/>
    <col min="5155" max="5155" width="15.5546875" style="507" customWidth="1"/>
    <col min="5156" max="5156" width="0" style="507" hidden="1"/>
    <col min="5157" max="5157" width="16.6640625" style="507" customWidth="1"/>
    <col min="5158" max="5158" width="17.44140625" style="507" customWidth="1"/>
    <col min="5159" max="5160" width="0" style="507" hidden="1"/>
    <col min="5161" max="5163" width="15.33203125" style="507" customWidth="1"/>
    <col min="5164" max="5164" width="17" style="507" customWidth="1"/>
    <col min="5165" max="5165" width="0" style="507" hidden="1"/>
    <col min="5166" max="5167" width="15.5546875" style="507" customWidth="1"/>
    <col min="5168" max="5168" width="13.6640625" style="507" customWidth="1"/>
    <col min="5169" max="5169" width="9" style="507" customWidth="1"/>
    <col min="5170" max="5170" width="49.88671875" style="507" customWidth="1"/>
    <col min="5171" max="5171" width="0" style="507" hidden="1"/>
    <col min="5172" max="5173" width="15.88671875" style="507" customWidth="1"/>
    <col min="5174" max="5174" width="14.5546875" style="507" customWidth="1"/>
    <col min="5175" max="5175" width="16.33203125" style="507" customWidth="1"/>
    <col min="5176" max="5176" width="18.109375" style="507" customWidth="1"/>
    <col min="5177" max="5177" width="14.109375" style="507" customWidth="1"/>
    <col min="5178" max="5404" width="0" style="507" hidden="1"/>
    <col min="5405" max="5405" width="7.5546875" style="507" customWidth="1"/>
    <col min="5406" max="5406" width="36.77734375" style="507" customWidth="1"/>
    <col min="5407" max="5408" width="0" style="507" hidden="1"/>
    <col min="5409" max="5409" width="16.6640625" style="507" customWidth="1"/>
    <col min="5410" max="5410" width="17.33203125" style="507" customWidth="1"/>
    <col min="5411" max="5411" width="15.5546875" style="507" customWidth="1"/>
    <col min="5412" max="5412" width="0" style="507" hidden="1"/>
    <col min="5413" max="5413" width="16.6640625" style="507" customWidth="1"/>
    <col min="5414" max="5414" width="17.44140625" style="507" customWidth="1"/>
    <col min="5415" max="5416" width="0" style="507" hidden="1"/>
    <col min="5417" max="5419" width="15.33203125" style="507" customWidth="1"/>
    <col min="5420" max="5420" width="17" style="507" customWidth="1"/>
    <col min="5421" max="5421" width="0" style="507" hidden="1"/>
    <col min="5422" max="5423" width="15.5546875" style="507" customWidth="1"/>
    <col min="5424" max="5424" width="13.6640625" style="507" customWidth="1"/>
    <col min="5425" max="5425" width="9" style="507" customWidth="1"/>
    <col min="5426" max="5426" width="49.88671875" style="507" customWidth="1"/>
    <col min="5427" max="5427" width="0" style="507" hidden="1"/>
    <col min="5428" max="5429" width="15.88671875" style="507" customWidth="1"/>
    <col min="5430" max="5430" width="14.5546875" style="507" customWidth="1"/>
    <col min="5431" max="5431" width="16.33203125" style="507" customWidth="1"/>
    <col min="5432" max="5432" width="18.109375" style="507" customWidth="1"/>
    <col min="5433" max="5433" width="14.109375" style="507" customWidth="1"/>
    <col min="5434" max="5660" width="0" style="507" hidden="1"/>
    <col min="5661" max="5661" width="7.5546875" style="507" customWidth="1"/>
    <col min="5662" max="5662" width="36.77734375" style="507" customWidth="1"/>
    <col min="5663" max="5664" width="0" style="507" hidden="1"/>
    <col min="5665" max="5665" width="16.6640625" style="507" customWidth="1"/>
    <col min="5666" max="5666" width="17.33203125" style="507" customWidth="1"/>
    <col min="5667" max="5667" width="15.5546875" style="507" customWidth="1"/>
    <col min="5668" max="5668" width="0" style="507" hidden="1"/>
    <col min="5669" max="5669" width="16.6640625" style="507" customWidth="1"/>
    <col min="5670" max="5670" width="17.44140625" style="507" customWidth="1"/>
    <col min="5671" max="5672" width="0" style="507" hidden="1"/>
    <col min="5673" max="5675" width="15.33203125" style="507" customWidth="1"/>
    <col min="5676" max="5676" width="17" style="507" customWidth="1"/>
    <col min="5677" max="5677" width="0" style="507" hidden="1"/>
    <col min="5678" max="5679" width="15.5546875" style="507" customWidth="1"/>
    <col min="5680" max="5680" width="13.6640625" style="507" customWidth="1"/>
    <col min="5681" max="5681" width="9" style="507" customWidth="1"/>
    <col min="5682" max="5682" width="49.88671875" style="507" customWidth="1"/>
    <col min="5683" max="5683" width="0" style="507" hidden="1"/>
    <col min="5684" max="5685" width="15.88671875" style="507" customWidth="1"/>
    <col min="5686" max="5686" width="14.5546875" style="507" customWidth="1"/>
    <col min="5687" max="5687" width="16.33203125" style="507" customWidth="1"/>
    <col min="5688" max="5688" width="18.109375" style="507" customWidth="1"/>
    <col min="5689" max="5689" width="14.109375" style="507" customWidth="1"/>
    <col min="5690" max="5916" width="0" style="507" hidden="1"/>
    <col min="5917" max="5917" width="7.5546875" style="507" customWidth="1"/>
    <col min="5918" max="5918" width="36.77734375" style="507" customWidth="1"/>
    <col min="5919" max="5920" width="0" style="507" hidden="1"/>
    <col min="5921" max="5921" width="16.6640625" style="507" customWidth="1"/>
    <col min="5922" max="5922" width="17.33203125" style="507" customWidth="1"/>
    <col min="5923" max="5923" width="15.5546875" style="507" customWidth="1"/>
    <col min="5924" max="5924" width="0" style="507" hidden="1"/>
    <col min="5925" max="5925" width="16.6640625" style="507" customWidth="1"/>
    <col min="5926" max="5926" width="17.44140625" style="507" customWidth="1"/>
    <col min="5927" max="5928" width="0" style="507" hidden="1"/>
    <col min="5929" max="5931" width="15.33203125" style="507" customWidth="1"/>
    <col min="5932" max="5932" width="17" style="507" customWidth="1"/>
    <col min="5933" max="5933" width="0" style="507" hidden="1"/>
    <col min="5934" max="5935" width="15.5546875" style="507" customWidth="1"/>
    <col min="5936" max="5936" width="13.6640625" style="507" customWidth="1"/>
    <col min="5937" max="5937" width="9" style="507" customWidth="1"/>
    <col min="5938" max="5938" width="49.88671875" style="507" customWidth="1"/>
    <col min="5939" max="5939" width="0" style="507" hidden="1"/>
    <col min="5940" max="5941" width="15.88671875" style="507" customWidth="1"/>
    <col min="5942" max="5942" width="14.5546875" style="507" customWidth="1"/>
    <col min="5943" max="5943" width="16.33203125" style="507" customWidth="1"/>
    <col min="5944" max="5944" width="18.109375" style="507" customWidth="1"/>
    <col min="5945" max="5945" width="14.109375" style="507" customWidth="1"/>
    <col min="5946" max="6172" width="0" style="507" hidden="1"/>
    <col min="6173" max="6173" width="7.5546875" style="507" customWidth="1"/>
    <col min="6174" max="6174" width="36.77734375" style="507" customWidth="1"/>
    <col min="6175" max="6176" width="0" style="507" hidden="1"/>
    <col min="6177" max="6177" width="16.6640625" style="507" customWidth="1"/>
    <col min="6178" max="6178" width="17.33203125" style="507" customWidth="1"/>
    <col min="6179" max="6179" width="15.5546875" style="507" customWidth="1"/>
    <col min="6180" max="6180" width="0" style="507" hidden="1"/>
    <col min="6181" max="6181" width="16.6640625" style="507" customWidth="1"/>
    <col min="6182" max="6182" width="17.44140625" style="507" customWidth="1"/>
    <col min="6183" max="6184" width="0" style="507" hidden="1"/>
    <col min="6185" max="6187" width="15.33203125" style="507" customWidth="1"/>
    <col min="6188" max="6188" width="17" style="507" customWidth="1"/>
    <col min="6189" max="6189" width="0" style="507" hidden="1"/>
    <col min="6190" max="6191" width="15.5546875" style="507" customWidth="1"/>
    <col min="6192" max="6192" width="13.6640625" style="507" customWidth="1"/>
    <col min="6193" max="6193" width="9" style="507" customWidth="1"/>
    <col min="6194" max="6194" width="49.88671875" style="507" customWidth="1"/>
    <col min="6195" max="6195" width="0" style="507" hidden="1"/>
    <col min="6196" max="6197" width="15.88671875" style="507" customWidth="1"/>
    <col min="6198" max="6198" width="14.5546875" style="507" customWidth="1"/>
    <col min="6199" max="6199" width="16.33203125" style="507" customWidth="1"/>
    <col min="6200" max="6200" width="18.109375" style="507" customWidth="1"/>
    <col min="6201" max="6201" width="14.109375" style="507" customWidth="1"/>
    <col min="6202" max="6428" width="0" style="507" hidden="1"/>
    <col min="6429" max="6429" width="7.5546875" style="507" customWidth="1"/>
    <col min="6430" max="6430" width="36.77734375" style="507" customWidth="1"/>
    <col min="6431" max="6432" width="0" style="507" hidden="1"/>
    <col min="6433" max="6433" width="16.6640625" style="507" customWidth="1"/>
    <col min="6434" max="6434" width="17.33203125" style="507" customWidth="1"/>
    <col min="6435" max="6435" width="15.5546875" style="507" customWidth="1"/>
    <col min="6436" max="6436" width="0" style="507" hidden="1"/>
    <col min="6437" max="6437" width="16.6640625" style="507" customWidth="1"/>
    <col min="6438" max="6438" width="17.44140625" style="507" customWidth="1"/>
    <col min="6439" max="6440" width="0" style="507" hidden="1"/>
    <col min="6441" max="6443" width="15.33203125" style="507" customWidth="1"/>
    <col min="6444" max="6444" width="17" style="507" customWidth="1"/>
    <col min="6445" max="6445" width="0" style="507" hidden="1"/>
    <col min="6446" max="6447" width="15.5546875" style="507" customWidth="1"/>
    <col min="6448" max="6448" width="13.6640625" style="507" customWidth="1"/>
    <col min="6449" max="6449" width="9" style="507" customWidth="1"/>
    <col min="6450" max="6450" width="49.88671875" style="507" customWidth="1"/>
    <col min="6451" max="6451" width="0" style="507" hidden="1"/>
    <col min="6452" max="6453" width="15.88671875" style="507" customWidth="1"/>
    <col min="6454" max="6454" width="14.5546875" style="507" customWidth="1"/>
    <col min="6455" max="6455" width="16.33203125" style="507" customWidth="1"/>
    <col min="6456" max="6456" width="18.109375" style="507" customWidth="1"/>
    <col min="6457" max="6457" width="14.109375" style="507" customWidth="1"/>
    <col min="6458" max="6684" width="0" style="507" hidden="1"/>
    <col min="6685" max="6685" width="7.5546875" style="507" customWidth="1"/>
    <col min="6686" max="6686" width="36.77734375" style="507" customWidth="1"/>
    <col min="6687" max="6688" width="0" style="507" hidden="1"/>
    <col min="6689" max="6689" width="16.6640625" style="507" customWidth="1"/>
    <col min="6690" max="6690" width="17.33203125" style="507" customWidth="1"/>
    <col min="6691" max="6691" width="15.5546875" style="507" customWidth="1"/>
    <col min="6692" max="6692" width="0" style="507" hidden="1"/>
    <col min="6693" max="6693" width="16.6640625" style="507" customWidth="1"/>
    <col min="6694" max="6694" width="17.44140625" style="507" customWidth="1"/>
    <col min="6695" max="6696" width="0" style="507" hidden="1"/>
    <col min="6697" max="6699" width="15.33203125" style="507" customWidth="1"/>
    <col min="6700" max="6700" width="17" style="507" customWidth="1"/>
    <col min="6701" max="6701" width="0" style="507" hidden="1"/>
    <col min="6702" max="6703" width="15.5546875" style="507" customWidth="1"/>
    <col min="6704" max="6704" width="13.6640625" style="507" customWidth="1"/>
    <col min="6705" max="6705" width="9" style="507" customWidth="1"/>
    <col min="6706" max="6706" width="49.88671875" style="507" customWidth="1"/>
    <col min="6707" max="6707" width="0" style="507" hidden="1"/>
    <col min="6708" max="6709" width="15.88671875" style="507" customWidth="1"/>
    <col min="6710" max="6710" width="14.5546875" style="507" customWidth="1"/>
    <col min="6711" max="6711" width="16.33203125" style="507" customWidth="1"/>
    <col min="6712" max="6712" width="18.109375" style="507" customWidth="1"/>
    <col min="6713" max="6713" width="14.109375" style="507" customWidth="1"/>
    <col min="6714" max="6940" width="0" style="507" hidden="1"/>
    <col min="6941" max="6941" width="7.5546875" style="507" customWidth="1"/>
    <col min="6942" max="6942" width="36.77734375" style="507" customWidth="1"/>
    <col min="6943" max="6944" width="0" style="507" hidden="1"/>
    <col min="6945" max="6945" width="16.6640625" style="507" customWidth="1"/>
    <col min="6946" max="6946" width="17.33203125" style="507" customWidth="1"/>
    <col min="6947" max="6947" width="15.5546875" style="507" customWidth="1"/>
    <col min="6948" max="6948" width="0" style="507" hidden="1"/>
    <col min="6949" max="6949" width="16.6640625" style="507" customWidth="1"/>
    <col min="6950" max="6950" width="17.44140625" style="507" customWidth="1"/>
    <col min="6951" max="6952" width="0" style="507" hidden="1"/>
    <col min="6953" max="6955" width="15.33203125" style="507" customWidth="1"/>
    <col min="6956" max="6956" width="17" style="507" customWidth="1"/>
    <col min="6957" max="6957" width="0" style="507" hidden="1"/>
    <col min="6958" max="6959" width="15.5546875" style="507" customWidth="1"/>
    <col min="6960" max="6960" width="13.6640625" style="507" customWidth="1"/>
    <col min="6961" max="6961" width="9" style="507" customWidth="1"/>
    <col min="6962" max="6962" width="49.88671875" style="507" customWidth="1"/>
    <col min="6963" max="6963" width="0" style="507" hidden="1"/>
    <col min="6964" max="6965" width="15.88671875" style="507" customWidth="1"/>
    <col min="6966" max="6966" width="14.5546875" style="507" customWidth="1"/>
    <col min="6967" max="6967" width="16.33203125" style="507" customWidth="1"/>
    <col min="6968" max="6968" width="18.109375" style="507" customWidth="1"/>
    <col min="6969" max="6969" width="14.109375" style="507" customWidth="1"/>
    <col min="6970" max="7196" width="0" style="507" hidden="1"/>
    <col min="7197" max="7197" width="7.5546875" style="507" customWidth="1"/>
    <col min="7198" max="7198" width="36.77734375" style="507" customWidth="1"/>
    <col min="7199" max="7200" width="0" style="507" hidden="1"/>
    <col min="7201" max="7201" width="16.6640625" style="507" customWidth="1"/>
    <col min="7202" max="7202" width="17.33203125" style="507" customWidth="1"/>
    <col min="7203" max="7203" width="15.5546875" style="507" customWidth="1"/>
    <col min="7204" max="7204" width="0" style="507" hidden="1"/>
    <col min="7205" max="7205" width="16.6640625" style="507" customWidth="1"/>
    <col min="7206" max="7206" width="17.44140625" style="507" customWidth="1"/>
    <col min="7207" max="7208" width="0" style="507" hidden="1"/>
    <col min="7209" max="7211" width="15.33203125" style="507" customWidth="1"/>
    <col min="7212" max="7212" width="17" style="507" customWidth="1"/>
    <col min="7213" max="7213" width="0" style="507" hidden="1"/>
    <col min="7214" max="7215" width="15.5546875" style="507" customWidth="1"/>
    <col min="7216" max="7216" width="13.6640625" style="507" customWidth="1"/>
    <col min="7217" max="7217" width="9" style="507" customWidth="1"/>
    <col min="7218" max="7218" width="49.88671875" style="507" customWidth="1"/>
    <col min="7219" max="7219" width="0" style="507" hidden="1"/>
    <col min="7220" max="7221" width="15.88671875" style="507" customWidth="1"/>
    <col min="7222" max="7222" width="14.5546875" style="507" customWidth="1"/>
    <col min="7223" max="7223" width="16.33203125" style="507" customWidth="1"/>
    <col min="7224" max="7224" width="18.109375" style="507" customWidth="1"/>
    <col min="7225" max="7225" width="14.109375" style="507" customWidth="1"/>
    <col min="7226" max="7452" width="0" style="507" hidden="1"/>
    <col min="7453" max="7453" width="7.5546875" style="507" customWidth="1"/>
    <col min="7454" max="7454" width="36.77734375" style="507" customWidth="1"/>
    <col min="7455" max="7456" width="0" style="507" hidden="1"/>
    <col min="7457" max="7457" width="16.6640625" style="507" customWidth="1"/>
    <col min="7458" max="7458" width="17.33203125" style="507" customWidth="1"/>
    <col min="7459" max="7459" width="15.5546875" style="507" customWidth="1"/>
    <col min="7460" max="7460" width="0" style="507" hidden="1"/>
    <col min="7461" max="7461" width="16.6640625" style="507" customWidth="1"/>
    <col min="7462" max="7462" width="17.44140625" style="507" customWidth="1"/>
    <col min="7463" max="7464" width="0" style="507" hidden="1"/>
    <col min="7465" max="7467" width="15.33203125" style="507" customWidth="1"/>
    <col min="7468" max="7468" width="17" style="507" customWidth="1"/>
    <col min="7469" max="7469" width="0" style="507" hidden="1"/>
    <col min="7470" max="7471" width="15.5546875" style="507" customWidth="1"/>
    <col min="7472" max="7472" width="13.6640625" style="507" customWidth="1"/>
    <col min="7473" max="7473" width="9" style="507" customWidth="1"/>
    <col min="7474" max="7474" width="49.88671875" style="507" customWidth="1"/>
    <col min="7475" max="7475" width="0" style="507" hidden="1"/>
    <col min="7476" max="7477" width="15.88671875" style="507" customWidth="1"/>
    <col min="7478" max="7478" width="14.5546875" style="507" customWidth="1"/>
    <col min="7479" max="7479" width="16.33203125" style="507" customWidth="1"/>
    <col min="7480" max="7480" width="18.109375" style="507" customWidth="1"/>
    <col min="7481" max="7481" width="14.109375" style="507" customWidth="1"/>
    <col min="7482" max="7708" width="0" style="507" hidden="1"/>
    <col min="7709" max="7709" width="7.5546875" style="507" customWidth="1"/>
    <col min="7710" max="7710" width="36.77734375" style="507" customWidth="1"/>
    <col min="7711" max="7712" width="0" style="507" hidden="1"/>
    <col min="7713" max="7713" width="16.6640625" style="507" customWidth="1"/>
    <col min="7714" max="7714" width="17.33203125" style="507" customWidth="1"/>
    <col min="7715" max="7715" width="15.5546875" style="507" customWidth="1"/>
    <col min="7716" max="7716" width="0" style="507" hidden="1"/>
    <col min="7717" max="7717" width="16.6640625" style="507" customWidth="1"/>
    <col min="7718" max="7718" width="17.44140625" style="507" customWidth="1"/>
    <col min="7719" max="7720" width="0" style="507" hidden="1"/>
    <col min="7721" max="7723" width="15.33203125" style="507" customWidth="1"/>
    <col min="7724" max="7724" width="17" style="507" customWidth="1"/>
    <col min="7725" max="7725" width="0" style="507" hidden="1"/>
    <col min="7726" max="7727" width="15.5546875" style="507" customWidth="1"/>
    <col min="7728" max="7728" width="13.6640625" style="507" customWidth="1"/>
    <col min="7729" max="7729" width="9" style="507" customWidth="1"/>
    <col min="7730" max="7730" width="49.88671875" style="507" customWidth="1"/>
    <col min="7731" max="7731" width="0" style="507" hidden="1"/>
    <col min="7732" max="7733" width="15.88671875" style="507" customWidth="1"/>
    <col min="7734" max="7734" width="14.5546875" style="507" customWidth="1"/>
    <col min="7735" max="7735" width="16.33203125" style="507" customWidth="1"/>
    <col min="7736" max="7736" width="18.109375" style="507" customWidth="1"/>
    <col min="7737" max="7737" width="14.109375" style="507" customWidth="1"/>
    <col min="7738" max="7964" width="0" style="507" hidden="1"/>
    <col min="7965" max="7965" width="7.5546875" style="507" customWidth="1"/>
    <col min="7966" max="7966" width="36.77734375" style="507" customWidth="1"/>
    <col min="7967" max="7968" width="0" style="507" hidden="1"/>
    <col min="7969" max="7969" width="16.6640625" style="507" customWidth="1"/>
    <col min="7970" max="7970" width="17.33203125" style="507" customWidth="1"/>
    <col min="7971" max="7971" width="15.5546875" style="507" customWidth="1"/>
    <col min="7972" max="7972" width="0" style="507" hidden="1"/>
    <col min="7973" max="7973" width="16.6640625" style="507" customWidth="1"/>
    <col min="7974" max="7974" width="17.44140625" style="507" customWidth="1"/>
    <col min="7975" max="7976" width="0" style="507" hidden="1"/>
    <col min="7977" max="7979" width="15.33203125" style="507" customWidth="1"/>
    <col min="7980" max="7980" width="17" style="507" customWidth="1"/>
    <col min="7981" max="7981" width="0" style="507" hidden="1"/>
    <col min="7982" max="7983" width="15.5546875" style="507" customWidth="1"/>
    <col min="7984" max="7984" width="13.6640625" style="507" customWidth="1"/>
    <col min="7985" max="7985" width="9" style="507" customWidth="1"/>
    <col min="7986" max="7986" width="49.88671875" style="507" customWidth="1"/>
    <col min="7987" max="7987" width="0" style="507" hidden="1"/>
    <col min="7988" max="7989" width="15.88671875" style="507" customWidth="1"/>
    <col min="7990" max="7990" width="14.5546875" style="507" customWidth="1"/>
    <col min="7991" max="7991" width="16.33203125" style="507" customWidth="1"/>
    <col min="7992" max="7992" width="18.109375" style="507" customWidth="1"/>
    <col min="7993" max="7993" width="14.109375" style="507" customWidth="1"/>
    <col min="7994" max="8220" width="0" style="507" hidden="1"/>
    <col min="8221" max="8221" width="7.5546875" style="507" customWidth="1"/>
    <col min="8222" max="8222" width="36.77734375" style="507" customWidth="1"/>
    <col min="8223" max="8224" width="0" style="507" hidden="1"/>
    <col min="8225" max="8225" width="16.6640625" style="507" customWidth="1"/>
    <col min="8226" max="8226" width="17.33203125" style="507" customWidth="1"/>
    <col min="8227" max="8227" width="15.5546875" style="507" customWidth="1"/>
    <col min="8228" max="8228" width="0" style="507" hidden="1"/>
    <col min="8229" max="8229" width="16.6640625" style="507" customWidth="1"/>
    <col min="8230" max="8230" width="17.44140625" style="507" customWidth="1"/>
    <col min="8231" max="8232" width="0" style="507" hidden="1"/>
    <col min="8233" max="8235" width="15.33203125" style="507" customWidth="1"/>
    <col min="8236" max="8236" width="17" style="507" customWidth="1"/>
    <col min="8237" max="8237" width="0" style="507" hidden="1"/>
    <col min="8238" max="8239" width="15.5546875" style="507" customWidth="1"/>
    <col min="8240" max="8240" width="13.6640625" style="507" customWidth="1"/>
    <col min="8241" max="8241" width="9" style="507" customWidth="1"/>
    <col min="8242" max="8242" width="49.88671875" style="507" customWidth="1"/>
    <col min="8243" max="8243" width="0" style="507" hidden="1"/>
    <col min="8244" max="8245" width="15.88671875" style="507" customWidth="1"/>
    <col min="8246" max="8246" width="14.5546875" style="507" customWidth="1"/>
    <col min="8247" max="8247" width="16.33203125" style="507" customWidth="1"/>
    <col min="8248" max="8248" width="18.109375" style="507" customWidth="1"/>
    <col min="8249" max="8249" width="14.109375" style="507" customWidth="1"/>
    <col min="8250" max="8476" width="0" style="507" hidden="1"/>
    <col min="8477" max="8477" width="7.5546875" style="507" customWidth="1"/>
    <col min="8478" max="8478" width="36.77734375" style="507" customWidth="1"/>
    <col min="8479" max="8480" width="0" style="507" hidden="1"/>
    <col min="8481" max="8481" width="16.6640625" style="507" customWidth="1"/>
    <col min="8482" max="8482" width="17.33203125" style="507" customWidth="1"/>
    <col min="8483" max="8483" width="15.5546875" style="507" customWidth="1"/>
    <col min="8484" max="8484" width="0" style="507" hidden="1"/>
    <col min="8485" max="8485" width="16.6640625" style="507" customWidth="1"/>
    <col min="8486" max="8486" width="17.44140625" style="507" customWidth="1"/>
    <col min="8487" max="8488" width="0" style="507" hidden="1"/>
    <col min="8489" max="8491" width="15.33203125" style="507" customWidth="1"/>
    <col min="8492" max="8492" width="17" style="507" customWidth="1"/>
    <col min="8493" max="8493" width="0" style="507" hidden="1"/>
    <col min="8494" max="8495" width="15.5546875" style="507" customWidth="1"/>
    <col min="8496" max="8496" width="13.6640625" style="507" customWidth="1"/>
    <col min="8497" max="8497" width="9" style="507" customWidth="1"/>
    <col min="8498" max="8498" width="49.88671875" style="507" customWidth="1"/>
    <col min="8499" max="8499" width="0" style="507" hidden="1"/>
    <col min="8500" max="8501" width="15.88671875" style="507" customWidth="1"/>
    <col min="8502" max="8502" width="14.5546875" style="507" customWidth="1"/>
    <col min="8503" max="8503" width="16.33203125" style="507" customWidth="1"/>
    <col min="8504" max="8504" width="18.109375" style="507" customWidth="1"/>
    <col min="8505" max="8505" width="14.109375" style="507" customWidth="1"/>
    <col min="8506" max="8732" width="0" style="507" hidden="1"/>
    <col min="8733" max="8733" width="7.5546875" style="507" customWidth="1"/>
    <col min="8734" max="8734" width="36.77734375" style="507" customWidth="1"/>
    <col min="8735" max="8736" width="0" style="507" hidden="1"/>
    <col min="8737" max="8737" width="16.6640625" style="507" customWidth="1"/>
    <col min="8738" max="8738" width="17.33203125" style="507" customWidth="1"/>
    <col min="8739" max="8739" width="15.5546875" style="507" customWidth="1"/>
    <col min="8740" max="8740" width="0" style="507" hidden="1"/>
    <col min="8741" max="8741" width="16.6640625" style="507" customWidth="1"/>
    <col min="8742" max="8742" width="17.44140625" style="507" customWidth="1"/>
    <col min="8743" max="8744" width="0" style="507" hidden="1"/>
    <col min="8745" max="8747" width="15.33203125" style="507" customWidth="1"/>
    <col min="8748" max="8748" width="17" style="507" customWidth="1"/>
    <col min="8749" max="8749" width="0" style="507" hidden="1"/>
    <col min="8750" max="8751" width="15.5546875" style="507" customWidth="1"/>
    <col min="8752" max="8752" width="13.6640625" style="507" customWidth="1"/>
    <col min="8753" max="8753" width="9" style="507" customWidth="1"/>
    <col min="8754" max="8754" width="49.88671875" style="507" customWidth="1"/>
    <col min="8755" max="8755" width="0" style="507" hidden="1"/>
    <col min="8756" max="8757" width="15.88671875" style="507" customWidth="1"/>
    <col min="8758" max="8758" width="14.5546875" style="507" customWidth="1"/>
    <col min="8759" max="8759" width="16.33203125" style="507" customWidth="1"/>
    <col min="8760" max="8760" width="18.109375" style="507" customWidth="1"/>
    <col min="8761" max="8761" width="14.109375" style="507" customWidth="1"/>
    <col min="8762" max="8988" width="0" style="507" hidden="1"/>
    <col min="8989" max="8989" width="7.5546875" style="507" customWidth="1"/>
    <col min="8990" max="8990" width="36.77734375" style="507" customWidth="1"/>
    <col min="8991" max="8992" width="0" style="507" hidden="1"/>
    <col min="8993" max="8993" width="16.6640625" style="507" customWidth="1"/>
    <col min="8994" max="8994" width="17.33203125" style="507" customWidth="1"/>
    <col min="8995" max="8995" width="15.5546875" style="507" customWidth="1"/>
    <col min="8996" max="8996" width="0" style="507" hidden="1"/>
    <col min="8997" max="8997" width="16.6640625" style="507" customWidth="1"/>
    <col min="8998" max="8998" width="17.44140625" style="507" customWidth="1"/>
    <col min="8999" max="9000" width="0" style="507" hidden="1"/>
    <col min="9001" max="9003" width="15.33203125" style="507" customWidth="1"/>
    <col min="9004" max="9004" width="17" style="507" customWidth="1"/>
    <col min="9005" max="9005" width="0" style="507" hidden="1"/>
    <col min="9006" max="9007" width="15.5546875" style="507" customWidth="1"/>
    <col min="9008" max="9008" width="13.6640625" style="507" customWidth="1"/>
    <col min="9009" max="9009" width="9" style="507" customWidth="1"/>
    <col min="9010" max="9010" width="49.88671875" style="507" customWidth="1"/>
    <col min="9011" max="9011" width="0" style="507" hidden="1"/>
    <col min="9012" max="9013" width="15.88671875" style="507" customWidth="1"/>
    <col min="9014" max="9014" width="14.5546875" style="507" customWidth="1"/>
    <col min="9015" max="9015" width="16.33203125" style="507" customWidth="1"/>
    <col min="9016" max="9016" width="18.109375" style="507" customWidth="1"/>
    <col min="9017" max="9017" width="14.109375" style="507" customWidth="1"/>
    <col min="9018" max="9244" width="0" style="507" hidden="1"/>
    <col min="9245" max="9245" width="7.5546875" style="507" customWidth="1"/>
    <col min="9246" max="9246" width="36.77734375" style="507" customWidth="1"/>
    <col min="9247" max="9248" width="0" style="507" hidden="1"/>
    <col min="9249" max="9249" width="16.6640625" style="507" customWidth="1"/>
    <col min="9250" max="9250" width="17.33203125" style="507" customWidth="1"/>
    <col min="9251" max="9251" width="15.5546875" style="507" customWidth="1"/>
    <col min="9252" max="9252" width="0" style="507" hidden="1"/>
    <col min="9253" max="9253" width="16.6640625" style="507" customWidth="1"/>
    <col min="9254" max="9254" width="17.44140625" style="507" customWidth="1"/>
    <col min="9255" max="9256" width="0" style="507" hidden="1"/>
    <col min="9257" max="9259" width="15.33203125" style="507" customWidth="1"/>
    <col min="9260" max="9260" width="17" style="507" customWidth="1"/>
    <col min="9261" max="9261" width="0" style="507" hidden="1"/>
    <col min="9262" max="9263" width="15.5546875" style="507" customWidth="1"/>
    <col min="9264" max="9264" width="13.6640625" style="507" customWidth="1"/>
    <col min="9265" max="9265" width="9" style="507" customWidth="1"/>
    <col min="9266" max="9266" width="49.88671875" style="507" customWidth="1"/>
    <col min="9267" max="9267" width="0" style="507" hidden="1"/>
    <col min="9268" max="9269" width="15.88671875" style="507" customWidth="1"/>
    <col min="9270" max="9270" width="14.5546875" style="507" customWidth="1"/>
    <col min="9271" max="9271" width="16.33203125" style="507" customWidth="1"/>
    <col min="9272" max="9272" width="18.109375" style="507" customWidth="1"/>
    <col min="9273" max="9273" width="14.109375" style="507" customWidth="1"/>
    <col min="9274" max="9500" width="0" style="507" hidden="1"/>
    <col min="9501" max="9501" width="7.5546875" style="507" customWidth="1"/>
    <col min="9502" max="9502" width="36.77734375" style="507" customWidth="1"/>
    <col min="9503" max="9504" width="0" style="507" hidden="1"/>
    <col min="9505" max="9505" width="16.6640625" style="507" customWidth="1"/>
    <col min="9506" max="9506" width="17.33203125" style="507" customWidth="1"/>
    <col min="9507" max="9507" width="15.5546875" style="507" customWidth="1"/>
    <col min="9508" max="9508" width="0" style="507" hidden="1"/>
    <col min="9509" max="9509" width="16.6640625" style="507" customWidth="1"/>
    <col min="9510" max="9510" width="17.44140625" style="507" customWidth="1"/>
    <col min="9511" max="9512" width="0" style="507" hidden="1"/>
    <col min="9513" max="9515" width="15.33203125" style="507" customWidth="1"/>
    <col min="9516" max="9516" width="17" style="507" customWidth="1"/>
    <col min="9517" max="9517" width="0" style="507" hidden="1"/>
    <col min="9518" max="9519" width="15.5546875" style="507" customWidth="1"/>
    <col min="9520" max="9520" width="13.6640625" style="507" customWidth="1"/>
    <col min="9521" max="9521" width="9" style="507" customWidth="1"/>
    <col min="9522" max="9522" width="49.88671875" style="507" customWidth="1"/>
    <col min="9523" max="9523" width="0" style="507" hidden="1"/>
    <col min="9524" max="9525" width="15.88671875" style="507" customWidth="1"/>
    <col min="9526" max="9526" width="14.5546875" style="507" customWidth="1"/>
    <col min="9527" max="9527" width="16.33203125" style="507" customWidth="1"/>
    <col min="9528" max="9528" width="18.109375" style="507" customWidth="1"/>
    <col min="9529" max="9529" width="14.109375" style="507" customWidth="1"/>
    <col min="9530" max="9756" width="0" style="507" hidden="1"/>
    <col min="9757" max="9757" width="7.5546875" style="507" customWidth="1"/>
    <col min="9758" max="9758" width="36.77734375" style="507" customWidth="1"/>
    <col min="9759" max="9760" width="0" style="507" hidden="1"/>
    <col min="9761" max="9761" width="16.6640625" style="507" customWidth="1"/>
    <col min="9762" max="9762" width="17.33203125" style="507" customWidth="1"/>
    <col min="9763" max="9763" width="15.5546875" style="507" customWidth="1"/>
    <col min="9764" max="9764" width="0" style="507" hidden="1"/>
    <col min="9765" max="9765" width="16.6640625" style="507" customWidth="1"/>
    <col min="9766" max="9766" width="17.44140625" style="507" customWidth="1"/>
    <col min="9767" max="9768" width="0" style="507" hidden="1"/>
    <col min="9769" max="9771" width="15.33203125" style="507" customWidth="1"/>
    <col min="9772" max="9772" width="17" style="507" customWidth="1"/>
    <col min="9773" max="9773" width="0" style="507" hidden="1"/>
    <col min="9774" max="9775" width="15.5546875" style="507" customWidth="1"/>
    <col min="9776" max="9776" width="13.6640625" style="507" customWidth="1"/>
    <col min="9777" max="9777" width="9" style="507" customWidth="1"/>
    <col min="9778" max="9778" width="49.88671875" style="507" customWidth="1"/>
    <col min="9779" max="9779" width="0" style="507" hidden="1"/>
    <col min="9780" max="9781" width="15.88671875" style="507" customWidth="1"/>
    <col min="9782" max="9782" width="14.5546875" style="507" customWidth="1"/>
    <col min="9783" max="9783" width="16.33203125" style="507" customWidth="1"/>
    <col min="9784" max="9784" width="18.109375" style="507" customWidth="1"/>
    <col min="9785" max="9785" width="14.109375" style="507" customWidth="1"/>
    <col min="9786" max="10012" width="0" style="507" hidden="1"/>
    <col min="10013" max="10013" width="7.5546875" style="507" customWidth="1"/>
    <col min="10014" max="10014" width="36.77734375" style="507" customWidth="1"/>
    <col min="10015" max="10016" width="0" style="507" hidden="1"/>
    <col min="10017" max="10017" width="16.6640625" style="507" customWidth="1"/>
    <col min="10018" max="10018" width="17.33203125" style="507" customWidth="1"/>
    <col min="10019" max="10019" width="15.5546875" style="507" customWidth="1"/>
    <col min="10020" max="10020" width="0" style="507" hidden="1"/>
    <col min="10021" max="10021" width="16.6640625" style="507" customWidth="1"/>
    <col min="10022" max="10022" width="17.44140625" style="507" customWidth="1"/>
    <col min="10023" max="10024" width="0" style="507" hidden="1"/>
    <col min="10025" max="10027" width="15.33203125" style="507" customWidth="1"/>
    <col min="10028" max="10028" width="17" style="507" customWidth="1"/>
    <col min="10029" max="10029" width="0" style="507" hidden="1"/>
    <col min="10030" max="10031" width="15.5546875" style="507" customWidth="1"/>
    <col min="10032" max="10032" width="13.6640625" style="507" customWidth="1"/>
    <col min="10033" max="10033" width="9" style="507" customWidth="1"/>
    <col min="10034" max="10034" width="49.88671875" style="507" customWidth="1"/>
    <col min="10035" max="10035" width="0" style="507" hidden="1"/>
    <col min="10036" max="10037" width="15.88671875" style="507" customWidth="1"/>
    <col min="10038" max="10038" width="14.5546875" style="507" customWidth="1"/>
    <col min="10039" max="10039" width="16.33203125" style="507" customWidth="1"/>
    <col min="10040" max="10040" width="18.109375" style="507" customWidth="1"/>
    <col min="10041" max="10041" width="14.109375" style="507" customWidth="1"/>
    <col min="10042" max="10268" width="0" style="507" hidden="1"/>
    <col min="10269" max="10269" width="7.5546875" style="507" customWidth="1"/>
    <col min="10270" max="10270" width="36.77734375" style="507" customWidth="1"/>
    <col min="10271" max="10272" width="0" style="507" hidden="1"/>
    <col min="10273" max="10273" width="16.6640625" style="507" customWidth="1"/>
    <col min="10274" max="10274" width="17.33203125" style="507" customWidth="1"/>
    <col min="10275" max="10275" width="15.5546875" style="507" customWidth="1"/>
    <col min="10276" max="10276" width="0" style="507" hidden="1"/>
    <col min="10277" max="10277" width="16.6640625" style="507" customWidth="1"/>
    <col min="10278" max="10278" width="17.44140625" style="507" customWidth="1"/>
    <col min="10279" max="10280" width="0" style="507" hidden="1"/>
    <col min="10281" max="10283" width="15.33203125" style="507" customWidth="1"/>
    <col min="10284" max="10284" width="17" style="507" customWidth="1"/>
    <col min="10285" max="10285" width="0" style="507" hidden="1"/>
    <col min="10286" max="10287" width="15.5546875" style="507" customWidth="1"/>
    <col min="10288" max="10288" width="13.6640625" style="507" customWidth="1"/>
    <col min="10289" max="10289" width="9" style="507" customWidth="1"/>
    <col min="10290" max="10290" width="49.88671875" style="507" customWidth="1"/>
    <col min="10291" max="10291" width="0" style="507" hidden="1"/>
    <col min="10292" max="10293" width="15.88671875" style="507" customWidth="1"/>
    <col min="10294" max="10294" width="14.5546875" style="507" customWidth="1"/>
    <col min="10295" max="10295" width="16.33203125" style="507" customWidth="1"/>
    <col min="10296" max="10296" width="18.109375" style="507" customWidth="1"/>
    <col min="10297" max="10297" width="14.109375" style="507" customWidth="1"/>
    <col min="10298" max="10524" width="0" style="507" hidden="1"/>
    <col min="10525" max="10525" width="7.5546875" style="507" customWidth="1"/>
    <col min="10526" max="10526" width="36.77734375" style="507" customWidth="1"/>
    <col min="10527" max="10528" width="0" style="507" hidden="1"/>
    <col min="10529" max="10529" width="16.6640625" style="507" customWidth="1"/>
    <col min="10530" max="10530" width="17.33203125" style="507" customWidth="1"/>
    <col min="10531" max="10531" width="15.5546875" style="507" customWidth="1"/>
    <col min="10532" max="10532" width="0" style="507" hidden="1"/>
    <col min="10533" max="10533" width="16.6640625" style="507" customWidth="1"/>
    <col min="10534" max="10534" width="17.44140625" style="507" customWidth="1"/>
    <col min="10535" max="10536" width="0" style="507" hidden="1"/>
    <col min="10537" max="10539" width="15.33203125" style="507" customWidth="1"/>
    <col min="10540" max="10540" width="17" style="507" customWidth="1"/>
    <col min="10541" max="10541" width="0" style="507" hidden="1"/>
    <col min="10542" max="10543" width="15.5546875" style="507" customWidth="1"/>
    <col min="10544" max="10544" width="13.6640625" style="507" customWidth="1"/>
    <col min="10545" max="10545" width="9" style="507" customWidth="1"/>
    <col min="10546" max="10546" width="49.88671875" style="507" customWidth="1"/>
    <col min="10547" max="10547" width="0" style="507" hidden="1"/>
    <col min="10548" max="10549" width="15.88671875" style="507" customWidth="1"/>
    <col min="10550" max="10550" width="14.5546875" style="507" customWidth="1"/>
    <col min="10551" max="10551" width="16.33203125" style="507" customWidth="1"/>
    <col min="10552" max="10552" width="18.109375" style="507" customWidth="1"/>
    <col min="10553" max="10553" width="14.109375" style="507" customWidth="1"/>
    <col min="10554" max="10780" width="0" style="507" hidden="1"/>
    <col min="10781" max="10781" width="7.5546875" style="507" customWidth="1"/>
    <col min="10782" max="10782" width="36.77734375" style="507" customWidth="1"/>
    <col min="10783" max="10784" width="0" style="507" hidden="1"/>
    <col min="10785" max="10785" width="16.6640625" style="507" customWidth="1"/>
    <col min="10786" max="10786" width="17.33203125" style="507" customWidth="1"/>
    <col min="10787" max="10787" width="15.5546875" style="507" customWidth="1"/>
    <col min="10788" max="10788" width="0" style="507" hidden="1"/>
    <col min="10789" max="10789" width="16.6640625" style="507" customWidth="1"/>
    <col min="10790" max="10790" width="17.44140625" style="507" customWidth="1"/>
    <col min="10791" max="10792" width="0" style="507" hidden="1"/>
    <col min="10793" max="10795" width="15.33203125" style="507" customWidth="1"/>
    <col min="10796" max="10796" width="17" style="507" customWidth="1"/>
    <col min="10797" max="10797" width="0" style="507" hidden="1"/>
    <col min="10798" max="10799" width="15.5546875" style="507" customWidth="1"/>
    <col min="10800" max="10800" width="13.6640625" style="507" customWidth="1"/>
    <col min="10801" max="10801" width="9" style="507" customWidth="1"/>
    <col min="10802" max="10802" width="49.88671875" style="507" customWidth="1"/>
    <col min="10803" max="10803" width="0" style="507" hidden="1"/>
    <col min="10804" max="10805" width="15.88671875" style="507" customWidth="1"/>
    <col min="10806" max="10806" width="14.5546875" style="507" customWidth="1"/>
    <col min="10807" max="10807" width="16.33203125" style="507" customWidth="1"/>
    <col min="10808" max="10808" width="18.109375" style="507" customWidth="1"/>
    <col min="10809" max="10809" width="14.109375" style="507" customWidth="1"/>
    <col min="10810" max="11036" width="0" style="507" hidden="1"/>
    <col min="11037" max="11037" width="7.5546875" style="507" customWidth="1"/>
    <col min="11038" max="11038" width="36.77734375" style="507" customWidth="1"/>
    <col min="11039" max="11040" width="0" style="507" hidden="1"/>
    <col min="11041" max="11041" width="16.6640625" style="507" customWidth="1"/>
    <col min="11042" max="11042" width="17.33203125" style="507" customWidth="1"/>
    <col min="11043" max="11043" width="15.5546875" style="507" customWidth="1"/>
    <col min="11044" max="11044" width="0" style="507" hidden="1"/>
    <col min="11045" max="11045" width="16.6640625" style="507" customWidth="1"/>
    <col min="11046" max="11046" width="17.44140625" style="507" customWidth="1"/>
    <col min="11047" max="11048" width="0" style="507" hidden="1"/>
    <col min="11049" max="11051" width="15.33203125" style="507" customWidth="1"/>
    <col min="11052" max="11052" width="17" style="507" customWidth="1"/>
    <col min="11053" max="11053" width="0" style="507" hidden="1"/>
    <col min="11054" max="11055" width="15.5546875" style="507" customWidth="1"/>
    <col min="11056" max="11056" width="13.6640625" style="507" customWidth="1"/>
    <col min="11057" max="11057" width="9" style="507" customWidth="1"/>
    <col min="11058" max="11058" width="49.88671875" style="507" customWidth="1"/>
    <col min="11059" max="11059" width="0" style="507" hidden="1"/>
    <col min="11060" max="11061" width="15.88671875" style="507" customWidth="1"/>
    <col min="11062" max="11062" width="14.5546875" style="507" customWidth="1"/>
    <col min="11063" max="11063" width="16.33203125" style="507" customWidth="1"/>
    <col min="11064" max="11064" width="18.109375" style="507" customWidth="1"/>
    <col min="11065" max="11065" width="14.109375" style="507" customWidth="1"/>
    <col min="11066" max="11292" width="0" style="507" hidden="1"/>
    <col min="11293" max="11293" width="7.5546875" style="507" customWidth="1"/>
    <col min="11294" max="11294" width="36.77734375" style="507" customWidth="1"/>
    <col min="11295" max="11296" width="0" style="507" hidden="1"/>
    <col min="11297" max="11297" width="16.6640625" style="507" customWidth="1"/>
    <col min="11298" max="11298" width="17.33203125" style="507" customWidth="1"/>
    <col min="11299" max="11299" width="15.5546875" style="507" customWidth="1"/>
    <col min="11300" max="11300" width="0" style="507" hidden="1"/>
    <col min="11301" max="11301" width="16.6640625" style="507" customWidth="1"/>
    <col min="11302" max="11302" width="17.44140625" style="507" customWidth="1"/>
    <col min="11303" max="11304" width="0" style="507" hidden="1"/>
    <col min="11305" max="11307" width="15.33203125" style="507" customWidth="1"/>
    <col min="11308" max="11308" width="17" style="507" customWidth="1"/>
    <col min="11309" max="11309" width="0" style="507" hidden="1"/>
    <col min="11310" max="11311" width="15.5546875" style="507" customWidth="1"/>
    <col min="11312" max="11312" width="13.6640625" style="507" customWidth="1"/>
    <col min="11313" max="11313" width="9" style="507" customWidth="1"/>
    <col min="11314" max="11314" width="49.88671875" style="507" customWidth="1"/>
    <col min="11315" max="11315" width="0" style="507" hidden="1"/>
    <col min="11316" max="11317" width="15.88671875" style="507" customWidth="1"/>
    <col min="11318" max="11318" width="14.5546875" style="507" customWidth="1"/>
    <col min="11319" max="11319" width="16.33203125" style="507" customWidth="1"/>
    <col min="11320" max="11320" width="18.109375" style="507" customWidth="1"/>
    <col min="11321" max="11321" width="14.109375" style="507" customWidth="1"/>
    <col min="11322" max="11548" width="0" style="507" hidden="1"/>
    <col min="11549" max="11549" width="7.5546875" style="507" customWidth="1"/>
    <col min="11550" max="11550" width="36.77734375" style="507" customWidth="1"/>
    <col min="11551" max="11552" width="0" style="507" hidden="1"/>
    <col min="11553" max="11553" width="16.6640625" style="507" customWidth="1"/>
    <col min="11554" max="11554" width="17.33203125" style="507" customWidth="1"/>
    <col min="11555" max="11555" width="15.5546875" style="507" customWidth="1"/>
    <col min="11556" max="11556" width="0" style="507" hidden="1"/>
    <col min="11557" max="11557" width="16.6640625" style="507" customWidth="1"/>
    <col min="11558" max="11558" width="17.44140625" style="507" customWidth="1"/>
    <col min="11559" max="11560" width="0" style="507" hidden="1"/>
    <col min="11561" max="11563" width="15.33203125" style="507" customWidth="1"/>
    <col min="11564" max="11564" width="17" style="507" customWidth="1"/>
    <col min="11565" max="11565" width="0" style="507" hidden="1"/>
    <col min="11566" max="11567" width="15.5546875" style="507" customWidth="1"/>
    <col min="11568" max="11568" width="13.6640625" style="507" customWidth="1"/>
    <col min="11569" max="11569" width="9" style="507" customWidth="1"/>
    <col min="11570" max="11570" width="49.88671875" style="507" customWidth="1"/>
    <col min="11571" max="11571" width="0" style="507" hidden="1"/>
    <col min="11572" max="11573" width="15.88671875" style="507" customWidth="1"/>
    <col min="11574" max="11574" width="14.5546875" style="507" customWidth="1"/>
    <col min="11575" max="11575" width="16.33203125" style="507" customWidth="1"/>
    <col min="11576" max="11576" width="18.109375" style="507" customWidth="1"/>
    <col min="11577" max="11577" width="14.109375" style="507" customWidth="1"/>
    <col min="11578" max="11804" width="0" style="507" hidden="1"/>
    <col min="11805" max="11805" width="7.5546875" style="507" customWidth="1"/>
    <col min="11806" max="11806" width="36.77734375" style="507" customWidth="1"/>
    <col min="11807" max="11808" width="0" style="507" hidden="1"/>
    <col min="11809" max="11809" width="16.6640625" style="507" customWidth="1"/>
    <col min="11810" max="11810" width="17.33203125" style="507" customWidth="1"/>
    <col min="11811" max="11811" width="15.5546875" style="507" customWidth="1"/>
    <col min="11812" max="11812" width="0" style="507" hidden="1"/>
    <col min="11813" max="11813" width="16.6640625" style="507" customWidth="1"/>
    <col min="11814" max="11814" width="17.44140625" style="507" customWidth="1"/>
    <col min="11815" max="11816" width="0" style="507" hidden="1"/>
    <col min="11817" max="11819" width="15.33203125" style="507" customWidth="1"/>
    <col min="11820" max="11820" width="17" style="507" customWidth="1"/>
    <col min="11821" max="11821" width="0" style="507" hidden="1"/>
    <col min="11822" max="11823" width="15.5546875" style="507" customWidth="1"/>
    <col min="11824" max="11824" width="13.6640625" style="507" customWidth="1"/>
    <col min="11825" max="11825" width="9" style="507" customWidth="1"/>
    <col min="11826" max="11826" width="49.88671875" style="507" customWidth="1"/>
    <col min="11827" max="11827" width="0" style="507" hidden="1"/>
    <col min="11828" max="11829" width="15.88671875" style="507" customWidth="1"/>
    <col min="11830" max="11830" width="14.5546875" style="507" customWidth="1"/>
    <col min="11831" max="11831" width="16.33203125" style="507" customWidth="1"/>
    <col min="11832" max="11832" width="18.109375" style="507" customWidth="1"/>
    <col min="11833" max="11833" width="14.109375" style="507" customWidth="1"/>
    <col min="11834" max="12060" width="0" style="507" hidden="1"/>
    <col min="12061" max="12061" width="7.5546875" style="507" customWidth="1"/>
    <col min="12062" max="12062" width="36.77734375" style="507" customWidth="1"/>
    <col min="12063" max="12064" width="0" style="507" hidden="1"/>
    <col min="12065" max="12065" width="16.6640625" style="507" customWidth="1"/>
    <col min="12066" max="12066" width="17.33203125" style="507" customWidth="1"/>
    <col min="12067" max="12067" width="15.5546875" style="507" customWidth="1"/>
    <col min="12068" max="12068" width="0" style="507" hidden="1"/>
    <col min="12069" max="12069" width="16.6640625" style="507" customWidth="1"/>
    <col min="12070" max="12070" width="17.44140625" style="507" customWidth="1"/>
    <col min="12071" max="12072" width="0" style="507" hidden="1"/>
    <col min="12073" max="12075" width="15.33203125" style="507" customWidth="1"/>
    <col min="12076" max="12076" width="17" style="507" customWidth="1"/>
    <col min="12077" max="12077" width="0" style="507" hidden="1"/>
    <col min="12078" max="12079" width="15.5546875" style="507" customWidth="1"/>
    <col min="12080" max="12080" width="13.6640625" style="507" customWidth="1"/>
    <col min="12081" max="12081" width="9" style="507" customWidth="1"/>
    <col min="12082" max="12082" width="49.88671875" style="507" customWidth="1"/>
    <col min="12083" max="12083" width="0" style="507" hidden="1"/>
    <col min="12084" max="12085" width="15.88671875" style="507" customWidth="1"/>
    <col min="12086" max="12086" width="14.5546875" style="507" customWidth="1"/>
    <col min="12087" max="12087" width="16.33203125" style="507" customWidth="1"/>
    <col min="12088" max="12088" width="18.109375" style="507" customWidth="1"/>
    <col min="12089" max="12089" width="14.109375" style="507" customWidth="1"/>
    <col min="12090" max="12316" width="0" style="507" hidden="1"/>
    <col min="12317" max="12317" width="7.5546875" style="507" customWidth="1"/>
    <col min="12318" max="12318" width="36.77734375" style="507" customWidth="1"/>
    <col min="12319" max="12320" width="0" style="507" hidden="1"/>
    <col min="12321" max="12321" width="16.6640625" style="507" customWidth="1"/>
    <col min="12322" max="12322" width="17.33203125" style="507" customWidth="1"/>
    <col min="12323" max="12323" width="15.5546875" style="507" customWidth="1"/>
    <col min="12324" max="12324" width="0" style="507" hidden="1"/>
    <col min="12325" max="12325" width="16.6640625" style="507" customWidth="1"/>
    <col min="12326" max="12326" width="17.44140625" style="507" customWidth="1"/>
    <col min="12327" max="12328" width="0" style="507" hidden="1"/>
    <col min="12329" max="12331" width="15.33203125" style="507" customWidth="1"/>
    <col min="12332" max="12332" width="17" style="507" customWidth="1"/>
    <col min="12333" max="12333" width="0" style="507" hidden="1"/>
    <col min="12334" max="12335" width="15.5546875" style="507" customWidth="1"/>
    <col min="12336" max="12336" width="13.6640625" style="507" customWidth="1"/>
    <col min="12337" max="12337" width="9" style="507" customWidth="1"/>
    <col min="12338" max="12338" width="49.88671875" style="507" customWidth="1"/>
    <col min="12339" max="12339" width="0" style="507" hidden="1"/>
    <col min="12340" max="12341" width="15.88671875" style="507" customWidth="1"/>
    <col min="12342" max="12342" width="14.5546875" style="507" customWidth="1"/>
    <col min="12343" max="12343" width="16.33203125" style="507" customWidth="1"/>
    <col min="12344" max="12344" width="18.109375" style="507" customWidth="1"/>
    <col min="12345" max="12345" width="14.109375" style="507" customWidth="1"/>
    <col min="12346" max="12572" width="0" style="507" hidden="1"/>
    <col min="12573" max="12573" width="7.5546875" style="507" customWidth="1"/>
    <col min="12574" max="12574" width="36.77734375" style="507" customWidth="1"/>
    <col min="12575" max="12576" width="0" style="507" hidden="1"/>
    <col min="12577" max="12577" width="16.6640625" style="507" customWidth="1"/>
    <col min="12578" max="12578" width="17.33203125" style="507" customWidth="1"/>
    <col min="12579" max="12579" width="15.5546875" style="507" customWidth="1"/>
    <col min="12580" max="12580" width="0" style="507" hidden="1"/>
    <col min="12581" max="12581" width="16.6640625" style="507" customWidth="1"/>
    <col min="12582" max="12582" width="17.44140625" style="507" customWidth="1"/>
    <col min="12583" max="12584" width="0" style="507" hidden="1"/>
    <col min="12585" max="12587" width="15.33203125" style="507" customWidth="1"/>
    <col min="12588" max="12588" width="17" style="507" customWidth="1"/>
    <col min="12589" max="12589" width="0" style="507" hidden="1"/>
    <col min="12590" max="12591" width="15.5546875" style="507" customWidth="1"/>
    <col min="12592" max="12592" width="13.6640625" style="507" customWidth="1"/>
    <col min="12593" max="12593" width="9" style="507" customWidth="1"/>
    <col min="12594" max="12594" width="49.88671875" style="507" customWidth="1"/>
    <col min="12595" max="12595" width="0" style="507" hidden="1"/>
    <col min="12596" max="12597" width="15.88671875" style="507" customWidth="1"/>
    <col min="12598" max="12598" width="14.5546875" style="507" customWidth="1"/>
    <col min="12599" max="12599" width="16.33203125" style="507" customWidth="1"/>
    <col min="12600" max="12600" width="18.109375" style="507" customWidth="1"/>
    <col min="12601" max="12601" width="14.109375" style="507" customWidth="1"/>
    <col min="12602" max="12828" width="0" style="507" hidden="1"/>
    <col min="12829" max="12829" width="7.5546875" style="507" customWidth="1"/>
    <col min="12830" max="12830" width="36.77734375" style="507" customWidth="1"/>
    <col min="12831" max="12832" width="0" style="507" hidden="1"/>
    <col min="12833" max="12833" width="16.6640625" style="507" customWidth="1"/>
    <col min="12834" max="12834" width="17.33203125" style="507" customWidth="1"/>
    <col min="12835" max="12835" width="15.5546875" style="507" customWidth="1"/>
    <col min="12836" max="12836" width="0" style="507" hidden="1"/>
    <col min="12837" max="12837" width="16.6640625" style="507" customWidth="1"/>
    <col min="12838" max="12838" width="17.44140625" style="507" customWidth="1"/>
    <col min="12839" max="12840" width="0" style="507" hidden="1"/>
    <col min="12841" max="12843" width="15.33203125" style="507" customWidth="1"/>
    <col min="12844" max="12844" width="17" style="507" customWidth="1"/>
    <col min="12845" max="12845" width="0" style="507" hidden="1"/>
    <col min="12846" max="12847" width="15.5546875" style="507" customWidth="1"/>
    <col min="12848" max="12848" width="13.6640625" style="507" customWidth="1"/>
    <col min="12849" max="12849" width="9" style="507" customWidth="1"/>
    <col min="12850" max="12850" width="49.88671875" style="507" customWidth="1"/>
    <col min="12851" max="12851" width="0" style="507" hidden="1"/>
    <col min="12852" max="12853" width="15.88671875" style="507" customWidth="1"/>
    <col min="12854" max="12854" width="14.5546875" style="507" customWidth="1"/>
    <col min="12855" max="12855" width="16.33203125" style="507" customWidth="1"/>
    <col min="12856" max="12856" width="18.109375" style="507" customWidth="1"/>
    <col min="12857" max="12857" width="14.109375" style="507" customWidth="1"/>
    <col min="12858" max="13084" width="0" style="507" hidden="1"/>
    <col min="13085" max="13085" width="7.5546875" style="507" customWidth="1"/>
    <col min="13086" max="13086" width="36.77734375" style="507" customWidth="1"/>
    <col min="13087" max="13088" width="0" style="507" hidden="1"/>
    <col min="13089" max="13089" width="16.6640625" style="507" customWidth="1"/>
    <col min="13090" max="13090" width="17.33203125" style="507" customWidth="1"/>
    <col min="13091" max="13091" width="15.5546875" style="507" customWidth="1"/>
    <col min="13092" max="13092" width="0" style="507" hidden="1"/>
    <col min="13093" max="13093" width="16.6640625" style="507" customWidth="1"/>
    <col min="13094" max="13094" width="17.44140625" style="507" customWidth="1"/>
    <col min="13095" max="13096" width="0" style="507" hidden="1"/>
    <col min="13097" max="13099" width="15.33203125" style="507" customWidth="1"/>
    <col min="13100" max="13100" width="17" style="507" customWidth="1"/>
    <col min="13101" max="13101" width="0" style="507" hidden="1"/>
    <col min="13102" max="13103" width="15.5546875" style="507" customWidth="1"/>
    <col min="13104" max="13104" width="13.6640625" style="507" customWidth="1"/>
    <col min="13105" max="13105" width="9" style="507" customWidth="1"/>
    <col min="13106" max="13106" width="49.88671875" style="507" customWidth="1"/>
    <col min="13107" max="13107" width="0" style="507" hidden="1"/>
    <col min="13108" max="13109" width="15.88671875" style="507" customWidth="1"/>
    <col min="13110" max="13110" width="14.5546875" style="507" customWidth="1"/>
    <col min="13111" max="13111" width="16.33203125" style="507" customWidth="1"/>
    <col min="13112" max="13112" width="18.109375" style="507" customWidth="1"/>
    <col min="13113" max="13113" width="14.109375" style="507" customWidth="1"/>
    <col min="13114" max="13340" width="0" style="507" hidden="1"/>
    <col min="13341" max="13341" width="7.5546875" style="507" customWidth="1"/>
    <col min="13342" max="13342" width="36.77734375" style="507" customWidth="1"/>
    <col min="13343" max="13344" width="0" style="507" hidden="1"/>
    <col min="13345" max="13345" width="16.6640625" style="507" customWidth="1"/>
    <col min="13346" max="13346" width="17.33203125" style="507" customWidth="1"/>
    <col min="13347" max="13347" width="15.5546875" style="507" customWidth="1"/>
    <col min="13348" max="13348" width="0" style="507" hidden="1"/>
    <col min="13349" max="13349" width="16.6640625" style="507" customWidth="1"/>
    <col min="13350" max="13350" width="17.44140625" style="507" customWidth="1"/>
    <col min="13351" max="13352" width="0" style="507" hidden="1"/>
    <col min="13353" max="13355" width="15.33203125" style="507" customWidth="1"/>
    <col min="13356" max="13356" width="17" style="507" customWidth="1"/>
    <col min="13357" max="13357" width="0" style="507" hidden="1"/>
    <col min="13358" max="13359" width="15.5546875" style="507" customWidth="1"/>
    <col min="13360" max="13360" width="13.6640625" style="507" customWidth="1"/>
    <col min="13361" max="13361" width="9" style="507" customWidth="1"/>
    <col min="13362" max="13362" width="49.88671875" style="507" customWidth="1"/>
    <col min="13363" max="13363" width="0" style="507" hidden="1"/>
    <col min="13364" max="13365" width="15.88671875" style="507" customWidth="1"/>
    <col min="13366" max="13366" width="14.5546875" style="507" customWidth="1"/>
    <col min="13367" max="13367" width="16.33203125" style="507" customWidth="1"/>
    <col min="13368" max="13368" width="18.109375" style="507" customWidth="1"/>
    <col min="13369" max="13369" width="14.109375" style="507" customWidth="1"/>
    <col min="13370" max="13596" width="0" style="507" hidden="1"/>
    <col min="13597" max="13597" width="7.5546875" style="507" customWidth="1"/>
    <col min="13598" max="13598" width="36.77734375" style="507" customWidth="1"/>
    <col min="13599" max="13600" width="0" style="507" hidden="1"/>
    <col min="13601" max="13601" width="16.6640625" style="507" customWidth="1"/>
    <col min="13602" max="13602" width="17.33203125" style="507" customWidth="1"/>
    <col min="13603" max="13603" width="15.5546875" style="507" customWidth="1"/>
    <col min="13604" max="13604" width="0" style="507" hidden="1"/>
    <col min="13605" max="13605" width="16.6640625" style="507" customWidth="1"/>
    <col min="13606" max="13606" width="17.44140625" style="507" customWidth="1"/>
    <col min="13607" max="13608" width="0" style="507" hidden="1"/>
    <col min="13609" max="13611" width="15.33203125" style="507" customWidth="1"/>
    <col min="13612" max="13612" width="17" style="507" customWidth="1"/>
    <col min="13613" max="13613" width="0" style="507" hidden="1"/>
    <col min="13614" max="13615" width="15.5546875" style="507" customWidth="1"/>
    <col min="13616" max="13616" width="13.6640625" style="507" customWidth="1"/>
    <col min="13617" max="13617" width="9" style="507" customWidth="1"/>
    <col min="13618" max="13618" width="49.88671875" style="507" customWidth="1"/>
    <col min="13619" max="13619" width="0" style="507" hidden="1"/>
    <col min="13620" max="13621" width="15.88671875" style="507" customWidth="1"/>
    <col min="13622" max="13622" width="14.5546875" style="507" customWidth="1"/>
    <col min="13623" max="13623" width="16.33203125" style="507" customWidth="1"/>
    <col min="13624" max="13624" width="18.109375" style="507" customWidth="1"/>
    <col min="13625" max="13625" width="14.109375" style="507" customWidth="1"/>
    <col min="13626" max="13852" width="0" style="507" hidden="1"/>
    <col min="13853" max="13853" width="7.5546875" style="507" customWidth="1"/>
    <col min="13854" max="13854" width="36.77734375" style="507" customWidth="1"/>
    <col min="13855" max="13856" width="0" style="507" hidden="1"/>
    <col min="13857" max="13857" width="16.6640625" style="507" customWidth="1"/>
    <col min="13858" max="13858" width="17.33203125" style="507" customWidth="1"/>
    <col min="13859" max="13859" width="15.5546875" style="507" customWidth="1"/>
    <col min="13860" max="13860" width="0" style="507" hidden="1"/>
    <col min="13861" max="13861" width="16.6640625" style="507" customWidth="1"/>
    <col min="13862" max="13862" width="17.44140625" style="507" customWidth="1"/>
    <col min="13863" max="13864" width="0" style="507" hidden="1"/>
    <col min="13865" max="13867" width="15.33203125" style="507" customWidth="1"/>
    <col min="13868" max="13868" width="17" style="507" customWidth="1"/>
    <col min="13869" max="13869" width="0" style="507" hidden="1"/>
    <col min="13870" max="13871" width="15.5546875" style="507" customWidth="1"/>
    <col min="13872" max="13872" width="13.6640625" style="507" customWidth="1"/>
    <col min="13873" max="13873" width="9" style="507" customWidth="1"/>
    <col min="13874" max="13874" width="49.88671875" style="507" customWidth="1"/>
    <col min="13875" max="13875" width="0" style="507" hidden="1"/>
    <col min="13876" max="13877" width="15.88671875" style="507" customWidth="1"/>
    <col min="13878" max="13878" width="14.5546875" style="507" customWidth="1"/>
    <col min="13879" max="13879" width="16.33203125" style="507" customWidth="1"/>
    <col min="13880" max="13880" width="18.109375" style="507" customWidth="1"/>
    <col min="13881" max="13881" width="14.109375" style="507" customWidth="1"/>
    <col min="13882" max="14108" width="0" style="507" hidden="1"/>
    <col min="14109" max="14109" width="7.5546875" style="507" customWidth="1"/>
    <col min="14110" max="14110" width="36.77734375" style="507" customWidth="1"/>
    <col min="14111" max="14112" width="0" style="507" hidden="1"/>
    <col min="14113" max="14113" width="16.6640625" style="507" customWidth="1"/>
    <col min="14114" max="14114" width="17.33203125" style="507" customWidth="1"/>
    <col min="14115" max="14115" width="15.5546875" style="507" customWidth="1"/>
    <col min="14116" max="14116" width="0" style="507" hidden="1"/>
    <col min="14117" max="14117" width="16.6640625" style="507" customWidth="1"/>
    <col min="14118" max="14118" width="17.44140625" style="507" customWidth="1"/>
    <col min="14119" max="14120" width="0" style="507" hidden="1"/>
    <col min="14121" max="14123" width="15.33203125" style="507" customWidth="1"/>
    <col min="14124" max="14124" width="17" style="507" customWidth="1"/>
    <col min="14125" max="14125" width="0" style="507" hidden="1"/>
    <col min="14126" max="14127" width="15.5546875" style="507" customWidth="1"/>
    <col min="14128" max="14128" width="13.6640625" style="507" customWidth="1"/>
    <col min="14129" max="14129" width="9" style="507" customWidth="1"/>
    <col min="14130" max="14130" width="49.88671875" style="507" customWidth="1"/>
    <col min="14131" max="14131" width="0" style="507" hidden="1"/>
    <col min="14132" max="14133" width="15.88671875" style="507" customWidth="1"/>
    <col min="14134" max="14134" width="14.5546875" style="507" customWidth="1"/>
    <col min="14135" max="14135" width="16.33203125" style="507" customWidth="1"/>
    <col min="14136" max="14136" width="18.109375" style="507" customWidth="1"/>
    <col min="14137" max="14137" width="14.109375" style="507" customWidth="1"/>
    <col min="14138" max="14364" width="0" style="507" hidden="1"/>
    <col min="14365" max="14365" width="7.5546875" style="507" customWidth="1"/>
    <col min="14366" max="14366" width="36.77734375" style="507" customWidth="1"/>
    <col min="14367" max="14368" width="0" style="507" hidden="1"/>
    <col min="14369" max="14369" width="16.6640625" style="507" customWidth="1"/>
    <col min="14370" max="14370" width="17.33203125" style="507" customWidth="1"/>
    <col min="14371" max="14371" width="15.5546875" style="507" customWidth="1"/>
    <col min="14372" max="14372" width="0" style="507" hidden="1"/>
    <col min="14373" max="14373" width="16.6640625" style="507" customWidth="1"/>
    <col min="14374" max="14374" width="17.44140625" style="507" customWidth="1"/>
    <col min="14375" max="14376" width="0" style="507" hidden="1"/>
    <col min="14377" max="14379" width="15.33203125" style="507" customWidth="1"/>
    <col min="14380" max="14380" width="17" style="507" customWidth="1"/>
    <col min="14381" max="14381" width="0" style="507" hidden="1"/>
    <col min="14382" max="14383" width="15.5546875" style="507" customWidth="1"/>
    <col min="14384" max="14384" width="13.6640625" style="507" customWidth="1"/>
    <col min="14385" max="14385" width="9" style="507" customWidth="1"/>
    <col min="14386" max="14386" width="49.88671875" style="507" customWidth="1"/>
    <col min="14387" max="14387" width="0" style="507" hidden="1"/>
    <col min="14388" max="14389" width="15.88671875" style="507" customWidth="1"/>
    <col min="14390" max="14390" width="14.5546875" style="507" customWidth="1"/>
    <col min="14391" max="14391" width="16.33203125" style="507" customWidth="1"/>
    <col min="14392" max="14392" width="18.109375" style="507" customWidth="1"/>
    <col min="14393" max="14393" width="14.109375" style="507" customWidth="1"/>
    <col min="14394" max="14620" width="0" style="507" hidden="1"/>
    <col min="14621" max="14621" width="7.5546875" style="507" customWidth="1"/>
    <col min="14622" max="14622" width="36.77734375" style="507" customWidth="1"/>
    <col min="14623" max="14624" width="0" style="507" hidden="1"/>
    <col min="14625" max="14625" width="16.6640625" style="507" customWidth="1"/>
    <col min="14626" max="14626" width="17.33203125" style="507" customWidth="1"/>
    <col min="14627" max="14627" width="15.5546875" style="507" customWidth="1"/>
    <col min="14628" max="14628" width="0" style="507" hidden="1"/>
    <col min="14629" max="14629" width="16.6640625" style="507" customWidth="1"/>
    <col min="14630" max="14630" width="17.44140625" style="507" customWidth="1"/>
    <col min="14631" max="14632" width="0" style="507" hidden="1"/>
    <col min="14633" max="14635" width="15.33203125" style="507" customWidth="1"/>
    <col min="14636" max="14636" width="17" style="507" customWidth="1"/>
    <col min="14637" max="14637" width="0" style="507" hidden="1"/>
    <col min="14638" max="14639" width="15.5546875" style="507" customWidth="1"/>
    <col min="14640" max="14640" width="13.6640625" style="507" customWidth="1"/>
    <col min="14641" max="14641" width="9" style="507" customWidth="1"/>
    <col min="14642" max="14642" width="49.88671875" style="507" customWidth="1"/>
    <col min="14643" max="14643" width="0" style="507" hidden="1"/>
    <col min="14644" max="14645" width="15.88671875" style="507" customWidth="1"/>
    <col min="14646" max="14646" width="14.5546875" style="507" customWidth="1"/>
    <col min="14647" max="14647" width="16.33203125" style="507" customWidth="1"/>
    <col min="14648" max="14648" width="18.109375" style="507" customWidth="1"/>
    <col min="14649" max="14649" width="14.109375" style="507" customWidth="1"/>
    <col min="14650" max="14876" width="0" style="507" hidden="1"/>
    <col min="14877" max="14877" width="7.5546875" style="507" customWidth="1"/>
    <col min="14878" max="14878" width="36.77734375" style="507" customWidth="1"/>
    <col min="14879" max="14880" width="0" style="507" hidden="1"/>
    <col min="14881" max="14881" width="16.6640625" style="507" customWidth="1"/>
    <col min="14882" max="14882" width="17.33203125" style="507" customWidth="1"/>
    <col min="14883" max="14883" width="15.5546875" style="507" customWidth="1"/>
    <col min="14884" max="14884" width="0" style="507" hidden="1"/>
    <col min="14885" max="14885" width="16.6640625" style="507" customWidth="1"/>
    <col min="14886" max="14886" width="17.44140625" style="507" customWidth="1"/>
    <col min="14887" max="14888" width="0" style="507" hidden="1"/>
    <col min="14889" max="14891" width="15.33203125" style="507" customWidth="1"/>
    <col min="14892" max="14892" width="17" style="507" customWidth="1"/>
    <col min="14893" max="14893" width="0" style="507" hidden="1"/>
    <col min="14894" max="14895" width="15.5546875" style="507" customWidth="1"/>
    <col min="14896" max="14896" width="13.6640625" style="507" customWidth="1"/>
    <col min="14897" max="14897" width="9" style="507" customWidth="1"/>
    <col min="14898" max="14898" width="49.88671875" style="507" customWidth="1"/>
    <col min="14899" max="14899" width="0" style="507" hidden="1"/>
    <col min="14900" max="14901" width="15.88671875" style="507" customWidth="1"/>
    <col min="14902" max="14902" width="14.5546875" style="507" customWidth="1"/>
    <col min="14903" max="14903" width="16.33203125" style="507" customWidth="1"/>
    <col min="14904" max="14904" width="18.109375" style="507" customWidth="1"/>
    <col min="14905" max="14905" width="14.109375" style="507" customWidth="1"/>
    <col min="14906" max="15132" width="0" style="507" hidden="1"/>
    <col min="15133" max="15133" width="7.5546875" style="507" customWidth="1"/>
    <col min="15134" max="15134" width="36.77734375" style="507" customWidth="1"/>
    <col min="15135" max="15136" width="0" style="507" hidden="1"/>
    <col min="15137" max="15137" width="16.6640625" style="507" customWidth="1"/>
    <col min="15138" max="15138" width="17.33203125" style="507" customWidth="1"/>
    <col min="15139" max="15139" width="15.5546875" style="507" customWidth="1"/>
    <col min="15140" max="15140" width="0" style="507" hidden="1"/>
    <col min="15141" max="15141" width="16.6640625" style="507" customWidth="1"/>
    <col min="15142" max="15142" width="17.44140625" style="507" customWidth="1"/>
    <col min="15143" max="15144" width="0" style="507" hidden="1"/>
    <col min="15145" max="15147" width="15.33203125" style="507" customWidth="1"/>
    <col min="15148" max="15148" width="17" style="507" customWidth="1"/>
    <col min="15149" max="15149" width="0" style="507" hidden="1"/>
    <col min="15150" max="15151" width="15.5546875" style="507" customWidth="1"/>
    <col min="15152" max="15152" width="13.6640625" style="507" customWidth="1"/>
    <col min="15153" max="15153" width="9" style="507" customWidth="1"/>
    <col min="15154" max="15154" width="49.88671875" style="507" customWidth="1"/>
    <col min="15155" max="15155" width="0" style="507" hidden="1"/>
    <col min="15156" max="15157" width="15.88671875" style="507" customWidth="1"/>
    <col min="15158" max="15158" width="14.5546875" style="507" customWidth="1"/>
    <col min="15159" max="15159" width="16.33203125" style="507" customWidth="1"/>
    <col min="15160" max="15160" width="18.109375" style="507" customWidth="1"/>
    <col min="15161" max="15161" width="14.109375" style="507" customWidth="1"/>
    <col min="15162" max="15388" width="0" style="507" hidden="1"/>
    <col min="15389" max="15389" width="7.5546875" style="507" customWidth="1"/>
    <col min="15390" max="15390" width="36.77734375" style="507" customWidth="1"/>
    <col min="15391" max="15392" width="0" style="507" hidden="1"/>
    <col min="15393" max="15393" width="16.6640625" style="507" customWidth="1"/>
    <col min="15394" max="15394" width="17.33203125" style="507" customWidth="1"/>
    <col min="15395" max="15395" width="15.5546875" style="507" customWidth="1"/>
    <col min="15396" max="15396" width="0" style="507" hidden="1"/>
    <col min="15397" max="15397" width="16.6640625" style="507" customWidth="1"/>
    <col min="15398" max="15398" width="17.44140625" style="507" customWidth="1"/>
    <col min="15399" max="15400" width="0" style="507" hidden="1"/>
    <col min="15401" max="15403" width="15.33203125" style="507" customWidth="1"/>
    <col min="15404" max="15404" width="17" style="507" customWidth="1"/>
    <col min="15405" max="15405" width="0" style="507" hidden="1"/>
    <col min="15406" max="15407" width="15.5546875" style="507" customWidth="1"/>
    <col min="15408" max="15408" width="13.6640625" style="507" customWidth="1"/>
    <col min="15409" max="15409" width="9" style="507" customWidth="1"/>
    <col min="15410" max="15410" width="49.88671875" style="507" customWidth="1"/>
    <col min="15411" max="15411" width="0" style="507" hidden="1"/>
    <col min="15412" max="15413" width="15.88671875" style="507" customWidth="1"/>
    <col min="15414" max="15414" width="14.5546875" style="507" customWidth="1"/>
    <col min="15415" max="15415" width="16.33203125" style="507" customWidth="1"/>
    <col min="15416" max="15416" width="18.109375" style="507" customWidth="1"/>
    <col min="15417" max="15417" width="14.109375" style="507" customWidth="1"/>
    <col min="15418" max="15644" width="0" style="507" hidden="1"/>
    <col min="15645" max="15645" width="7.5546875" style="507" customWidth="1"/>
    <col min="15646" max="15646" width="36.77734375" style="507" customWidth="1"/>
    <col min="15647" max="15648" width="0" style="507" hidden="1"/>
    <col min="15649" max="15649" width="16.6640625" style="507" customWidth="1"/>
    <col min="15650" max="15650" width="17.33203125" style="507" customWidth="1"/>
    <col min="15651" max="15651" width="15.5546875" style="507" customWidth="1"/>
    <col min="15652" max="15652" width="0" style="507" hidden="1"/>
    <col min="15653" max="15653" width="16.6640625" style="507" customWidth="1"/>
    <col min="15654" max="15654" width="17.44140625" style="507" customWidth="1"/>
    <col min="15655" max="15656" width="0" style="507" hidden="1"/>
    <col min="15657" max="15659" width="15.33203125" style="507" customWidth="1"/>
    <col min="15660" max="15660" width="17" style="507" customWidth="1"/>
    <col min="15661" max="15661" width="0" style="507" hidden="1"/>
    <col min="15662" max="15663" width="15.5546875" style="507" customWidth="1"/>
    <col min="15664" max="15664" width="13.6640625" style="507" customWidth="1"/>
    <col min="15665" max="15665" width="9" style="507" customWidth="1"/>
    <col min="15666" max="15666" width="49.88671875" style="507" customWidth="1"/>
    <col min="15667" max="15667" width="0" style="507" hidden="1"/>
    <col min="15668" max="15669" width="15.88671875" style="507" customWidth="1"/>
    <col min="15670" max="15670" width="14.5546875" style="507" customWidth="1"/>
    <col min="15671" max="15671" width="16.33203125" style="507" customWidth="1"/>
    <col min="15672" max="15672" width="18.109375" style="507" customWidth="1"/>
    <col min="15673" max="15673" width="14.109375" style="507" customWidth="1"/>
    <col min="15674" max="15900" width="0" style="507" hidden="1"/>
    <col min="15901" max="15901" width="7.5546875" style="507" customWidth="1"/>
    <col min="15902" max="15902" width="36.77734375" style="507" customWidth="1"/>
    <col min="15903" max="15904" width="0" style="507" hidden="1"/>
    <col min="15905" max="15905" width="16.6640625" style="507" customWidth="1"/>
    <col min="15906" max="15906" width="17.33203125" style="507" customWidth="1"/>
    <col min="15907" max="15907" width="15.5546875" style="507" customWidth="1"/>
    <col min="15908" max="15908" width="0" style="507" hidden="1"/>
    <col min="15909" max="15909" width="16.6640625" style="507" customWidth="1"/>
    <col min="15910" max="15910" width="17.44140625" style="507" customWidth="1"/>
    <col min="15911" max="15912" width="0" style="507" hidden="1"/>
    <col min="15913" max="15915" width="15.33203125" style="507" customWidth="1"/>
    <col min="15916" max="15916" width="17" style="507" customWidth="1"/>
    <col min="15917" max="15917" width="0" style="507" hidden="1"/>
    <col min="15918" max="15919" width="15.5546875" style="507" customWidth="1"/>
    <col min="15920" max="15920" width="13.6640625" style="507" customWidth="1"/>
    <col min="15921" max="15921" width="9" style="507" customWidth="1"/>
    <col min="15922" max="15922" width="49.88671875" style="507" customWidth="1"/>
    <col min="15923" max="15923" width="0" style="507" hidden="1"/>
    <col min="15924" max="15925" width="15.88671875" style="507" customWidth="1"/>
    <col min="15926" max="15926" width="14.5546875" style="507" customWidth="1"/>
    <col min="15927" max="15927" width="16.33203125" style="507" customWidth="1"/>
    <col min="15928" max="15928" width="18.109375" style="507" customWidth="1"/>
    <col min="15929" max="15929" width="14.109375" style="507" customWidth="1"/>
    <col min="15930" max="16384" width="0" style="507" hidden="1"/>
  </cols>
  <sheetData>
    <row r="1" spans="1:40" ht="24.75" customHeight="1">
      <c r="A1" s="785" t="s">
        <v>207</v>
      </c>
      <c r="B1" s="785"/>
      <c r="C1" s="785"/>
      <c r="D1" s="785"/>
      <c r="E1" s="785"/>
      <c r="F1" s="785"/>
      <c r="G1" s="785"/>
      <c r="H1" s="785"/>
      <c r="I1" s="785"/>
      <c r="J1" s="785"/>
      <c r="K1" s="785"/>
      <c r="L1" s="785"/>
      <c r="M1" s="785"/>
      <c r="N1" s="785"/>
      <c r="O1" s="505"/>
      <c r="P1" s="506"/>
      <c r="Q1" s="506"/>
      <c r="R1" s="747"/>
      <c r="S1" s="747"/>
      <c r="T1" s="747"/>
      <c r="U1" s="747"/>
      <c r="V1" s="419"/>
      <c r="W1" s="585"/>
      <c r="X1" s="585"/>
      <c r="Y1" s="419"/>
      <c r="Z1" s="419"/>
      <c r="AA1" s="585"/>
      <c r="AB1" s="504"/>
      <c r="AC1" s="504"/>
      <c r="AD1" s="505"/>
      <c r="AE1" s="419"/>
      <c r="AF1" s="585"/>
      <c r="AG1" s="585"/>
      <c r="AH1" s="419"/>
      <c r="AI1" s="419"/>
      <c r="AJ1" s="504"/>
      <c r="AK1" s="504"/>
      <c r="AL1" s="504"/>
      <c r="AM1" s="595"/>
      <c r="AN1" s="595"/>
    </row>
    <row r="2" spans="1:40" ht="24.75" customHeight="1">
      <c r="A2" s="596" t="s">
        <v>219</v>
      </c>
      <c r="B2" s="509"/>
      <c r="C2" s="508"/>
      <c r="D2" s="508"/>
      <c r="E2" s="508"/>
      <c r="F2" s="508"/>
      <c r="G2" s="510"/>
      <c r="H2" s="667"/>
      <c r="I2" s="511"/>
      <c r="J2" s="512"/>
      <c r="K2" s="512"/>
      <c r="L2" s="513"/>
      <c r="M2" s="513"/>
      <c r="N2" s="512"/>
      <c r="O2" s="512"/>
      <c r="P2" s="514"/>
      <c r="Q2" s="514"/>
      <c r="R2" s="748"/>
      <c r="S2" s="748"/>
      <c r="T2" s="748"/>
      <c r="U2" s="748"/>
      <c r="V2" s="420"/>
      <c r="W2" s="586"/>
      <c r="X2" s="586"/>
      <c r="Y2" s="420"/>
      <c r="Z2" s="420"/>
      <c r="AA2" s="586"/>
      <c r="AB2" s="596"/>
      <c r="AC2" s="508"/>
      <c r="AD2" s="512"/>
      <c r="AE2" s="420"/>
      <c r="AF2" s="586"/>
      <c r="AG2" s="586"/>
      <c r="AH2" s="420"/>
      <c r="AI2" s="420"/>
      <c r="AJ2" s="508"/>
      <c r="AK2" s="508"/>
      <c r="AL2" s="508"/>
      <c r="AM2" s="597"/>
      <c r="AN2" s="597"/>
    </row>
    <row r="3" spans="1:40" ht="26.25" customHeight="1" thickBot="1">
      <c r="A3" s="584" t="s">
        <v>43</v>
      </c>
      <c r="B3" s="516"/>
      <c r="C3" s="515"/>
      <c r="D3" s="516"/>
      <c r="E3" s="516"/>
      <c r="F3" s="516"/>
      <c r="G3" s="517"/>
      <c r="H3" s="668"/>
      <c r="I3" s="518"/>
      <c r="J3" s="519"/>
      <c r="K3" s="519"/>
      <c r="L3" s="520"/>
      <c r="M3" s="520"/>
      <c r="N3" s="519"/>
      <c r="O3" s="519"/>
      <c r="P3" s="518"/>
      <c r="Q3" s="518"/>
      <c r="R3" s="519"/>
      <c r="S3" s="519"/>
      <c r="T3" s="519"/>
      <c r="U3" s="519"/>
      <c r="V3" s="422" t="s">
        <v>189</v>
      </c>
      <c r="W3" s="423" t="s">
        <v>190</v>
      </c>
      <c r="X3" s="603">
        <v>0.03</v>
      </c>
      <c r="Y3" s="424"/>
      <c r="Z3" s="421"/>
      <c r="AA3" s="421"/>
      <c r="AB3" s="601">
        <v>0.05</v>
      </c>
      <c r="AC3" s="601">
        <v>0.1</v>
      </c>
      <c r="AD3" s="519"/>
      <c r="AE3" s="422" t="s">
        <v>189</v>
      </c>
      <c r="AF3" s="423" t="s">
        <v>190</v>
      </c>
      <c r="AG3" s="603">
        <v>0.03</v>
      </c>
      <c r="AH3" s="421"/>
      <c r="AI3" s="627">
        <v>0.25</v>
      </c>
      <c r="AJ3" s="598"/>
      <c r="AK3" s="599"/>
      <c r="AL3" s="599"/>
      <c r="AM3" s="600"/>
      <c r="AN3" s="602"/>
    </row>
    <row r="4" spans="1:40" ht="26.4" customHeight="1">
      <c r="A4" s="524"/>
      <c r="B4" s="516"/>
      <c r="C4" s="524"/>
      <c r="D4" s="516"/>
      <c r="E4" s="516"/>
      <c r="F4" s="516"/>
      <c r="G4" s="517"/>
      <c r="H4" s="668"/>
      <c r="I4" s="518"/>
      <c r="J4" s="519"/>
      <c r="K4" s="519"/>
      <c r="L4" s="517"/>
      <c r="M4" s="517"/>
      <c r="N4" s="519"/>
      <c r="O4" s="519"/>
      <c r="P4" s="518"/>
      <c r="Q4" s="786" t="s">
        <v>223</v>
      </c>
      <c r="R4" s="787"/>
      <c r="S4" s="787"/>
      <c r="T4" s="787"/>
      <c r="U4" s="788"/>
      <c r="V4" s="792" t="s">
        <v>226</v>
      </c>
      <c r="W4" s="792"/>
      <c r="X4" s="792"/>
      <c r="Y4" s="792"/>
      <c r="Z4" s="792"/>
      <c r="AA4" s="792"/>
      <c r="AB4" s="792"/>
      <c r="AC4" s="792"/>
      <c r="AD4" s="793"/>
      <c r="AE4" s="794" t="s">
        <v>227</v>
      </c>
      <c r="AF4" s="795"/>
      <c r="AG4" s="795"/>
      <c r="AH4" s="795"/>
      <c r="AI4" s="796"/>
      <c r="AJ4" s="598"/>
      <c r="AK4" s="599"/>
      <c r="AL4" s="599"/>
      <c r="AM4" s="600"/>
      <c r="AN4" s="602"/>
    </row>
    <row r="5" spans="1:40" ht="24.6" customHeight="1" thickBot="1">
      <c r="A5" s="525" t="s">
        <v>189</v>
      </c>
      <c r="B5" s="525" t="s">
        <v>189</v>
      </c>
      <c r="C5" s="525" t="s">
        <v>189</v>
      </c>
      <c r="D5" s="525" t="s">
        <v>189</v>
      </c>
      <c r="E5" s="525" t="s">
        <v>189</v>
      </c>
      <c r="F5" s="525" t="s">
        <v>190</v>
      </c>
      <c r="G5" s="525" t="s">
        <v>189</v>
      </c>
      <c r="H5" s="668"/>
      <c r="I5" s="525" t="s">
        <v>189</v>
      </c>
      <c r="J5" s="525" t="s">
        <v>189</v>
      </c>
      <c r="K5" s="525"/>
      <c r="L5" s="526" t="s">
        <v>190</v>
      </c>
      <c r="M5" s="527">
        <v>0.03</v>
      </c>
      <c r="N5" s="519"/>
      <c r="O5" s="519"/>
      <c r="P5" s="518">
        <v>12</v>
      </c>
      <c r="Q5" s="789"/>
      <c r="R5" s="790"/>
      <c r="S5" s="790"/>
      <c r="T5" s="790"/>
      <c r="U5" s="791"/>
      <c r="V5" s="783" t="s">
        <v>228</v>
      </c>
      <c r="W5" s="783"/>
      <c r="X5" s="783"/>
      <c r="Y5" s="783"/>
      <c r="Z5" s="783"/>
      <c r="AA5" s="783"/>
      <c r="AB5" s="783"/>
      <c r="AC5" s="783"/>
      <c r="AD5" s="784"/>
      <c r="AE5" s="780" t="s">
        <v>145</v>
      </c>
      <c r="AF5" s="781"/>
      <c r="AG5" s="781"/>
      <c r="AH5" s="781"/>
      <c r="AI5" s="782"/>
      <c r="AJ5" s="598"/>
      <c r="AK5" s="599"/>
      <c r="AL5" s="599"/>
      <c r="AM5" s="600"/>
      <c r="AN5" s="602"/>
    </row>
    <row r="6" spans="1:40" s="533" customFormat="1" ht="98.4" customHeight="1" thickBot="1">
      <c r="A6" s="722" t="s">
        <v>0</v>
      </c>
      <c r="B6" s="723" t="s">
        <v>182</v>
      </c>
      <c r="C6" s="722" t="s">
        <v>39</v>
      </c>
      <c r="D6" s="724" t="s">
        <v>1</v>
      </c>
      <c r="E6" s="725" t="s">
        <v>6</v>
      </c>
      <c r="F6" s="726" t="s">
        <v>44</v>
      </c>
      <c r="G6" s="727" t="s">
        <v>171</v>
      </c>
      <c r="H6" s="728" t="s">
        <v>206</v>
      </c>
      <c r="I6" s="729" t="s">
        <v>36</v>
      </c>
      <c r="J6" s="721" t="s">
        <v>184</v>
      </c>
      <c r="K6" s="721" t="s">
        <v>222</v>
      </c>
      <c r="L6" s="589" t="s">
        <v>193</v>
      </c>
      <c r="M6" s="589" t="s">
        <v>188</v>
      </c>
      <c r="N6" s="730" t="s">
        <v>140</v>
      </c>
      <c r="O6" s="528" t="s">
        <v>195</v>
      </c>
      <c r="P6" s="731" t="s">
        <v>183</v>
      </c>
      <c r="Q6" s="734" t="s">
        <v>286</v>
      </c>
      <c r="R6" s="749" t="s">
        <v>210</v>
      </c>
      <c r="S6" s="750" t="s">
        <v>211</v>
      </c>
      <c r="T6" s="749" t="s">
        <v>212</v>
      </c>
      <c r="U6" s="751" t="s">
        <v>213</v>
      </c>
      <c r="V6" s="624" t="s">
        <v>194</v>
      </c>
      <c r="W6" s="592" t="s">
        <v>192</v>
      </c>
      <c r="X6" s="592" t="s">
        <v>191</v>
      </c>
      <c r="Y6" s="624" t="s">
        <v>134</v>
      </c>
      <c r="Z6" s="625" t="s">
        <v>135</v>
      </c>
      <c r="AA6" s="625" t="s">
        <v>136</v>
      </c>
      <c r="AB6" s="529" t="s">
        <v>137</v>
      </c>
      <c r="AC6" s="529" t="s">
        <v>138</v>
      </c>
      <c r="AD6" s="417" t="s">
        <v>196</v>
      </c>
      <c r="AE6" s="626" t="s">
        <v>145</v>
      </c>
      <c r="AF6" s="592" t="s">
        <v>199</v>
      </c>
      <c r="AG6" s="592" t="s">
        <v>200</v>
      </c>
      <c r="AH6" s="624" t="s">
        <v>139</v>
      </c>
      <c r="AI6" s="418" t="s">
        <v>197</v>
      </c>
      <c r="AJ6" s="530" t="s">
        <v>106</v>
      </c>
      <c r="AK6" s="531" t="s">
        <v>38</v>
      </c>
      <c r="AL6" s="532" t="s">
        <v>42</v>
      </c>
      <c r="AM6" s="532" t="s">
        <v>7</v>
      </c>
      <c r="AN6" s="681" t="s">
        <v>209</v>
      </c>
    </row>
    <row r="7" spans="1:40" s="567" customFormat="1" ht="27" customHeight="1">
      <c r="A7" s="616">
        <v>1</v>
      </c>
      <c r="B7" s="732">
        <v>45566</v>
      </c>
      <c r="C7" s="617">
        <v>120000069056</v>
      </c>
      <c r="D7" s="739" t="s">
        <v>220</v>
      </c>
      <c r="E7" s="618" t="s">
        <v>75</v>
      </c>
      <c r="F7" s="618" t="s">
        <v>45</v>
      </c>
      <c r="G7" s="619">
        <v>60</v>
      </c>
      <c r="H7" s="733">
        <v>6.6000000000000003E-2</v>
      </c>
      <c r="I7" s="622">
        <v>45658</v>
      </c>
      <c r="J7" s="620">
        <v>7500</v>
      </c>
      <c r="K7" s="620">
        <v>0</v>
      </c>
      <c r="L7" s="590" t="s">
        <v>186</v>
      </c>
      <c r="M7" s="591">
        <f>IF(Table1351452010[[#This Row],[หัก ณ ที่จ่าย
(ค่าบริการ)]]="มี",Table1351452010[[#This Row],[ค่าบริการเฉลี่ยต่อเดือน]]*3%,0)</f>
        <v>225</v>
      </c>
      <c r="N7" s="534">
        <f>Table1351452010[[#This Row],[ค่าบริการเฉลี่ยต่อเดือน]]-Table1351452010[[#This Row],[มูลค่าหัก 3%]]</f>
        <v>7275</v>
      </c>
      <c r="O7"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28809.000000000004</v>
      </c>
      <c r="P7" s="735">
        <f>Table1351452010[[#This Row],[ระยะเวลาสัญญา
(เดือน)]]/$P$5</f>
        <v>5</v>
      </c>
      <c r="Q7" s="737">
        <f>Table1351452010[[#This Row],[Total
รายการเบิก
คอมขาย
(1)]]/Table1351452010[[#This Row],[แบ่งจ่าย/งวด
(ตามปีสัญญา)]]</f>
        <v>5761.8000000000011</v>
      </c>
      <c r="R7" s="752">
        <v>5761.8</v>
      </c>
      <c r="S7" s="752">
        <v>5761.8</v>
      </c>
      <c r="T7" s="752">
        <v>5761.8</v>
      </c>
      <c r="U7" s="752">
        <v>5761.8</v>
      </c>
      <c r="V7" s="621">
        <v>0</v>
      </c>
      <c r="W7" s="593"/>
      <c r="X7" s="594">
        <f>IF(Table1351452010[[#This Row],[หัก ณ ที่จ่าย
(ค่าติตั้ง)]]="มี",Table1351452010[[#This Row],[ค่าเชื่อมสัญญาณ/
ค่าติดตั้ง/
ค่าขายอุปกรณ์]]*$X$3,0)</f>
        <v>0</v>
      </c>
      <c r="Y7" s="396">
        <f>Table1351452010[[#This Row],[ค่าเชื่อมสัญญาณ/
ค่าติดตั้ง/
ค่าขายอุปกรณ์]]-Table1351452010[[#This Row],[มูลค่าหัก 3%
(ค่าติดตั้ง)]]</f>
        <v>0</v>
      </c>
      <c r="Z7" s="331"/>
      <c r="AA7" s="664">
        <f>Table1351452010[[#This Row],[ค่าเชื่อมสัญญาณ/
ค่าติดตั้ง/
ค่าขายอุปกรณ์
(เรียกเก็บสุทธิ)]]-Table1351452010[[#This Row],[ต้นทุน]]</f>
        <v>0</v>
      </c>
      <c r="AB7" s="536" t="str">
        <f>IF(Table1351452010[[#This Row],[ส่วนต่างกำไร]]&lt;(Table1351452010[[#This Row],[ต้นทุน]]*5%),Table1351452010[[#This Row],[ค่าเชื่อมสัญญาณ/
ค่าติดตั้ง/
ค่าขายอุปกรณ์
(เรียกเก็บสุทธิ)]]*$AB$3,"0")</f>
        <v>0</v>
      </c>
      <c r="AC7" s="536">
        <f>IF(Table1351452010[[#This Row],[ส่วนต่างกำไร]]&gt;=(Table1351452010[[#This Row],[ต้นทุน]]*5%),Table1351452010[[#This Row],[ค่าเชื่อมสัญญาณ/
ค่าติดตั้ง/
ค่าขายอุปกรณ์
(เรียกเก็บสุทธิ)]]*$AC$3,"0")</f>
        <v>0</v>
      </c>
      <c r="AD7" s="611">
        <f>SUM(Table1351452010[[#This Row],[คอมฯ
 5%]:[คอมฯ
10%]])</f>
        <v>0</v>
      </c>
      <c r="AE7" s="623">
        <v>0</v>
      </c>
      <c r="AF7" s="593"/>
      <c r="AG7" s="615">
        <f>IF(Table1351452010[[#This Row],[หัก ณ ที่จ่าย
(ค่าเชื่อมสัญญาณ)]]="มี",Table1351452010[[#This Row],[ค่าเชื่อมสัญญาณ]]*$AG$3,0)</f>
        <v>0</v>
      </c>
      <c r="AH7" s="397">
        <f>Table1351452010[[#This Row],[ค่าเชื่อมสัญญาณ]]-Table1351452010[[#This Row],[มูลค่าหัก 3%
(ค่าเชื่อมสัญญาณ)]]</f>
        <v>0</v>
      </c>
      <c r="AI7" s="402">
        <f>Table1351452010[[#This Row],[ค่าเชื่อมสัญญาณ
(เรียกเก็บสุทธิ)]]*$AI$3</f>
        <v>0</v>
      </c>
      <c r="AJ7" s="537">
        <f>Table1351452010[[#This Row],[ปีที่1
(ทำจ่ายรอบ 3/2025)]]+Table1351452010[[#This Row],[Total
ค่าเชื่มสัญญาณ/ค่าติดตั้ง/
ค่าขายอุปกรณ์
(2)]]+Table1351452010[[#This Row],[Total 
คอมฯค่าเชื่อมสัญญาณ
(3)]]</f>
        <v>5761.8000000000011</v>
      </c>
      <c r="AK7" s="538" t="s">
        <v>224</v>
      </c>
      <c r="AL7" s="538" t="s">
        <v>242</v>
      </c>
      <c r="AM7" s="539" t="s">
        <v>225</v>
      </c>
      <c r="AN7" s="507" t="s">
        <v>243</v>
      </c>
    </row>
    <row r="8" spans="1:40" s="567" customFormat="1" ht="27" customHeight="1">
      <c r="A8" s="720" t="s">
        <v>217</v>
      </c>
      <c r="B8" s="677"/>
      <c r="C8" s="541"/>
      <c r="D8" s="740" t="s">
        <v>221</v>
      </c>
      <c r="E8" s="542"/>
      <c r="F8" s="542"/>
      <c r="G8" s="568"/>
      <c r="H8" s="669"/>
      <c r="I8" s="544"/>
      <c r="J8" s="542"/>
      <c r="K8" s="542"/>
      <c r="L8" s="545"/>
      <c r="M8" s="545"/>
      <c r="N8" s="546"/>
      <c r="O8" s="547"/>
      <c r="P8" s="548"/>
      <c r="Q8" s="682"/>
      <c r="R8" s="765" t="s">
        <v>241</v>
      </c>
      <c r="S8" s="754"/>
      <c r="T8" s="754"/>
      <c r="U8" s="755"/>
      <c r="V8" s="391"/>
      <c r="W8" s="409"/>
      <c r="X8" s="411"/>
      <c r="Y8" s="389"/>
      <c r="Z8" s="392"/>
      <c r="AA8" s="665" t="e">
        <f t="shared" ref="AA8" si="0">AA7/Z7</f>
        <v>#DIV/0!</v>
      </c>
      <c r="AB8" s="587"/>
      <c r="AC8" s="587"/>
      <c r="AD8" s="612"/>
      <c r="AE8" s="406"/>
      <c r="AF8" s="409"/>
      <c r="AG8" s="409"/>
      <c r="AH8" s="393"/>
      <c r="AI8" s="403"/>
      <c r="AJ8" s="549"/>
      <c r="AK8" s="550"/>
      <c r="AL8" s="550"/>
      <c r="AM8" s="551"/>
      <c r="AN8" s="507"/>
    </row>
    <row r="9" spans="1:40" s="567" customFormat="1" ht="27" customHeight="1">
      <c r="A9" s="540">
        <v>9.4000000000000092</v>
      </c>
      <c r="B9" s="543"/>
      <c r="C9" s="540"/>
      <c r="D9" s="741"/>
      <c r="E9" s="552"/>
      <c r="F9" s="552"/>
      <c r="G9" s="568"/>
      <c r="H9" s="669"/>
      <c r="I9" s="544"/>
      <c r="J9" s="542"/>
      <c r="K9" s="542"/>
      <c r="L9" s="545"/>
      <c r="M9" s="545"/>
      <c r="N9" s="542"/>
      <c r="O9" s="553"/>
      <c r="P9" s="554"/>
      <c r="Q9" s="683"/>
      <c r="R9" s="756"/>
      <c r="S9" s="757"/>
      <c r="T9" s="757"/>
      <c r="U9" s="758"/>
      <c r="V9" s="391"/>
      <c r="W9" s="409"/>
      <c r="X9" s="411"/>
      <c r="Y9" s="389"/>
      <c r="Z9" s="392"/>
      <c r="AA9" s="392"/>
      <c r="AB9" s="587"/>
      <c r="AC9" s="587"/>
      <c r="AD9" s="613"/>
      <c r="AE9" s="407"/>
      <c r="AF9" s="409"/>
      <c r="AG9" s="409"/>
      <c r="AH9" s="393"/>
      <c r="AI9" s="403"/>
      <c r="AJ9" s="549"/>
      <c r="AK9" s="550"/>
      <c r="AL9" s="550"/>
      <c r="AM9" s="551"/>
      <c r="AN9" s="507"/>
    </row>
    <row r="10" spans="1:40" s="567" customFormat="1" ht="27" customHeight="1" thickBot="1">
      <c r="A10" s="555">
        <v>10.6071428571429</v>
      </c>
      <c r="B10" s="557"/>
      <c r="C10" s="555"/>
      <c r="D10" s="742"/>
      <c r="E10" s="556"/>
      <c r="F10" s="556"/>
      <c r="G10" s="558"/>
      <c r="H10" s="670"/>
      <c r="I10" s="559"/>
      <c r="J10" s="560"/>
      <c r="K10" s="560"/>
      <c r="L10" s="561"/>
      <c r="M10" s="561"/>
      <c r="N10" s="560"/>
      <c r="O10" s="562"/>
      <c r="P10" s="563"/>
      <c r="Q10" s="684"/>
      <c r="R10" s="759"/>
      <c r="S10" s="760"/>
      <c r="T10" s="760"/>
      <c r="U10" s="761"/>
      <c r="V10" s="394"/>
      <c r="W10" s="410"/>
      <c r="X10" s="412"/>
      <c r="Y10" s="390"/>
      <c r="Z10" s="388"/>
      <c r="AA10" s="666"/>
      <c r="AB10" s="588"/>
      <c r="AC10" s="588"/>
      <c r="AD10" s="614"/>
      <c r="AE10" s="408"/>
      <c r="AF10" s="410"/>
      <c r="AG10" s="410"/>
      <c r="AH10" s="395"/>
      <c r="AI10" s="404"/>
      <c r="AJ10" s="564"/>
      <c r="AK10" s="565"/>
      <c r="AL10" s="565"/>
      <c r="AM10" s="566"/>
      <c r="AN10" s="680"/>
    </row>
    <row r="11" spans="1:40" s="567" customFormat="1" ht="27" customHeight="1">
      <c r="A11" s="616">
        <v>2</v>
      </c>
      <c r="B11" s="732">
        <v>45566</v>
      </c>
      <c r="C11" s="617">
        <v>120000069021</v>
      </c>
      <c r="D11" s="739" t="s">
        <v>239</v>
      </c>
      <c r="E11" s="618" t="s">
        <v>75</v>
      </c>
      <c r="F11" s="618" t="s">
        <v>45</v>
      </c>
      <c r="G11" s="619">
        <v>36</v>
      </c>
      <c r="H11" s="733">
        <v>6.6000000000000003E-2</v>
      </c>
      <c r="I11" s="622">
        <v>45658</v>
      </c>
      <c r="J11" s="620">
        <v>25000</v>
      </c>
      <c r="K11" s="620">
        <v>0</v>
      </c>
      <c r="L11" s="590" t="s">
        <v>186</v>
      </c>
      <c r="M11" s="591">
        <f>IF(Table1351452010[[#This Row],[หัก ณ ที่จ่าย
(ค่าบริการ)]]="มี",Table1351452010[[#This Row],[ค่าบริการเฉลี่ยต่อเดือน]]*3%,0)</f>
        <v>750</v>
      </c>
      <c r="N11" s="534">
        <f>Table1351452010[[#This Row],[ค่าบริการเฉลี่ยต่อเดือน]]-Table1351452010[[#This Row],[มูลค่าหัก 3%]]</f>
        <v>24250</v>
      </c>
      <c r="O11"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57618</v>
      </c>
      <c r="P11" s="735">
        <f>Table1351452010[[#This Row],[ระยะเวลาสัญญา
(เดือน)]]/$P$5</f>
        <v>3</v>
      </c>
      <c r="Q11" s="737">
        <f>Table1351452010[[#This Row],[Total
รายการเบิก
คอมขาย
(1)]]/Table1351452010[[#This Row],[แบ่งจ่าย/งวด
(ตามปีสัญญา)]]</f>
        <v>19206</v>
      </c>
      <c r="R11" s="752">
        <v>19206</v>
      </c>
      <c r="S11" s="752">
        <v>19206</v>
      </c>
      <c r="T11" s="738"/>
      <c r="U11" s="762"/>
      <c r="V11" s="621">
        <v>15000</v>
      </c>
      <c r="W11" s="593" t="s">
        <v>186</v>
      </c>
      <c r="X11" s="594">
        <f>IF(Table1351452010[[#This Row],[หัก ณ ที่จ่าย
(ค่าติตั้ง)]]="มี",Table1351452010[[#This Row],[ค่าเชื่อมสัญญาณ/
ค่าติดตั้ง/
ค่าขายอุปกรณ์]]*$X$3,0)</f>
        <v>450</v>
      </c>
      <c r="Y11" s="396">
        <f>Table1351452010[[#This Row],[ค่าเชื่อมสัญญาณ/
ค่าติดตั้ง/
ค่าขายอุปกรณ์]]-Table1351452010[[#This Row],[มูลค่าหัก 3%
(ค่าติดตั้ง)]]</f>
        <v>14550</v>
      </c>
      <c r="Z11" s="331">
        <f>56726.75+9800</f>
        <v>66526.75</v>
      </c>
      <c r="AA11" s="664">
        <f>Table1351452010[[#This Row],[ค่าเชื่อมสัญญาณ/
ค่าติดตั้ง/
ค่าขายอุปกรณ์
(เรียกเก็บสุทธิ)]]-Table1351452010[[#This Row],[ต้นทุน]]</f>
        <v>-51976.75</v>
      </c>
      <c r="AB11" s="536">
        <f>IF(Table1351452010[[#This Row],[ส่วนต่างกำไร]]&lt;(Table1351452010[[#This Row],[ต้นทุน]]*5%),Table1351452010[[#This Row],[ค่าเชื่อมสัญญาณ/
ค่าติดตั้ง/
ค่าขายอุปกรณ์
(เรียกเก็บสุทธิ)]]*$AB$3,"0")</f>
        <v>727.5</v>
      </c>
      <c r="AC11" s="536" t="str">
        <f>IF(Table1351452010[[#This Row],[ส่วนต่างกำไร]]&gt;=(Table1351452010[[#This Row],[ต้นทุน]]*5%),Table1351452010[[#This Row],[ค่าเชื่อมสัญญาณ/
ค่าติดตั้ง/
ค่าขายอุปกรณ์
(เรียกเก็บสุทธิ)]]*$AC$3,"0")</f>
        <v>0</v>
      </c>
      <c r="AD11" s="611">
        <f>SUM(Table1351452010[[#This Row],[คอมฯ
 5%]:[คอมฯ
10%]])</f>
        <v>727.5</v>
      </c>
      <c r="AE11" s="623">
        <v>0</v>
      </c>
      <c r="AF11" s="593"/>
      <c r="AG11" s="615">
        <f>IF(Table1351452010[[#This Row],[หัก ณ ที่จ่าย
(ค่าเชื่อมสัญญาณ)]]="มี",Table1351452010[[#This Row],[ค่าเชื่อมสัญญาณ]]*$AG$3,0)</f>
        <v>0</v>
      </c>
      <c r="AH11" s="397">
        <f>Table1351452010[[#This Row],[ค่าเชื่อมสัญญาณ]]-Table1351452010[[#This Row],[มูลค่าหัก 3%
(ค่าเชื่อมสัญญาณ)]]</f>
        <v>0</v>
      </c>
      <c r="AI11" s="402">
        <f>Table1351452010[[#This Row],[ค่าเชื่อมสัญญาณ
(เรียกเก็บสุทธิ)]]*$AI$4</f>
        <v>0</v>
      </c>
      <c r="AJ11" s="537">
        <f>Table1351452010[[#This Row],[ปีที่1
(ทำจ่ายรอบ 3/2025)]]+Table1351452010[[#This Row],[Total
ค่าเชื่มสัญญาณ/ค่าติดตั้ง/
ค่าขายอุปกรณ์
(2)]]+Table1351452010[[#This Row],[Total 
คอมฯค่าเชื่อมสัญญาณ
(3)]]</f>
        <v>19933.5</v>
      </c>
      <c r="AK11" s="538" t="s">
        <v>240</v>
      </c>
      <c r="AL11" s="538" t="s">
        <v>244</v>
      </c>
      <c r="AM11" s="539" t="s">
        <v>107</v>
      </c>
      <c r="AN11" s="507" t="s">
        <v>243</v>
      </c>
    </row>
    <row r="12" spans="1:40" s="567" customFormat="1" ht="27" customHeight="1">
      <c r="A12" s="720" t="s">
        <v>217</v>
      </c>
      <c r="B12" s="677"/>
      <c r="C12" s="541"/>
      <c r="D12" s="740" t="s">
        <v>255</v>
      </c>
      <c r="E12" s="542"/>
      <c r="F12" s="542"/>
      <c r="G12" s="568"/>
      <c r="H12" s="669"/>
      <c r="I12" s="544"/>
      <c r="J12" s="542"/>
      <c r="K12" s="542"/>
      <c r="L12" s="545"/>
      <c r="M12" s="545"/>
      <c r="N12" s="546"/>
      <c r="O12" s="547"/>
      <c r="P12" s="548"/>
      <c r="Q12" s="682"/>
      <c r="R12" s="765" t="s">
        <v>241</v>
      </c>
      <c r="S12" s="765" t="s">
        <v>285</v>
      </c>
      <c r="T12" s="754"/>
      <c r="U12" s="755"/>
      <c r="V12" s="391"/>
      <c r="W12" s="409"/>
      <c r="X12" s="411"/>
      <c r="Y12" s="389"/>
      <c r="Z12" s="392"/>
      <c r="AA12" s="665">
        <f t="shared" ref="AA12" si="1">AA11/Z11</f>
        <v>-0.78129098445362199</v>
      </c>
      <c r="AB12" s="587"/>
      <c r="AC12" s="587"/>
      <c r="AD12" s="612"/>
      <c r="AE12" s="406"/>
      <c r="AF12" s="409"/>
      <c r="AG12" s="409"/>
      <c r="AH12" s="393"/>
      <c r="AI12" s="403"/>
      <c r="AJ12" s="549"/>
      <c r="AK12" s="550" t="s">
        <v>247</v>
      </c>
      <c r="AL12" s="550" t="s">
        <v>248</v>
      </c>
      <c r="AM12" s="551"/>
      <c r="AN12" s="507" t="s">
        <v>243</v>
      </c>
    </row>
    <row r="13" spans="1:40" s="567" customFormat="1" ht="32.4" customHeight="1">
      <c r="A13" s="540"/>
      <c r="B13" s="543"/>
      <c r="C13" s="540"/>
      <c r="D13" s="743"/>
      <c r="E13" s="552"/>
      <c r="F13" s="552"/>
      <c r="G13" s="568"/>
      <c r="H13" s="669"/>
      <c r="I13" s="544"/>
      <c r="J13" s="542"/>
      <c r="K13" s="542"/>
      <c r="L13" s="545"/>
      <c r="M13" s="545"/>
      <c r="N13" s="542"/>
      <c r="O13" s="553"/>
      <c r="P13" s="554"/>
      <c r="Q13" s="683"/>
      <c r="R13" s="756"/>
      <c r="S13" s="757"/>
      <c r="T13" s="757"/>
      <c r="U13" s="758"/>
      <c r="V13" s="391"/>
      <c r="W13" s="409"/>
      <c r="X13" s="411"/>
      <c r="Y13" s="389"/>
      <c r="Z13" s="392"/>
      <c r="AA13" s="392"/>
      <c r="AB13" s="587"/>
      <c r="AC13" s="587"/>
      <c r="AD13" s="613"/>
      <c r="AE13" s="407"/>
      <c r="AF13" s="409"/>
      <c r="AG13" s="409"/>
      <c r="AH13" s="393"/>
      <c r="AI13" s="403"/>
      <c r="AJ13" s="549"/>
      <c r="AK13" s="550"/>
      <c r="AL13" s="550"/>
      <c r="AM13" s="551"/>
      <c r="AN13" s="507"/>
    </row>
    <row r="14" spans="1:40" s="567" customFormat="1" ht="27" customHeight="1" thickBot="1">
      <c r="A14" s="555"/>
      <c r="B14" s="557"/>
      <c r="C14" s="555"/>
      <c r="D14" s="742"/>
      <c r="E14" s="556"/>
      <c r="F14" s="556"/>
      <c r="G14" s="558"/>
      <c r="H14" s="670"/>
      <c r="I14" s="559"/>
      <c r="J14" s="560"/>
      <c r="K14" s="560"/>
      <c r="L14" s="561"/>
      <c r="M14" s="561"/>
      <c r="N14" s="560"/>
      <c r="O14" s="562"/>
      <c r="P14" s="563"/>
      <c r="Q14" s="684"/>
      <c r="R14" s="759"/>
      <c r="S14" s="760"/>
      <c r="T14" s="760"/>
      <c r="U14" s="761"/>
      <c r="V14" s="394"/>
      <c r="W14" s="410"/>
      <c r="X14" s="412"/>
      <c r="Y14" s="390"/>
      <c r="Z14" s="388"/>
      <c r="AA14" s="666"/>
      <c r="AB14" s="588"/>
      <c r="AC14" s="588"/>
      <c r="AD14" s="614"/>
      <c r="AE14" s="408"/>
      <c r="AF14" s="410"/>
      <c r="AG14" s="410"/>
      <c r="AH14" s="395"/>
      <c r="AI14" s="404"/>
      <c r="AJ14" s="564"/>
      <c r="AK14" s="565"/>
      <c r="AL14" s="565"/>
      <c r="AM14" s="566"/>
      <c r="AN14" s="680"/>
    </row>
    <row r="15" spans="1:40" s="567" customFormat="1" ht="27" customHeight="1">
      <c r="A15" s="616">
        <v>3</v>
      </c>
      <c r="B15" s="732">
        <v>45566</v>
      </c>
      <c r="C15" s="617">
        <v>120000069053</v>
      </c>
      <c r="D15" s="739" t="s">
        <v>249</v>
      </c>
      <c r="E15" s="618" t="s">
        <v>75</v>
      </c>
      <c r="F15" s="618" t="s">
        <v>45</v>
      </c>
      <c r="G15" s="619">
        <v>24</v>
      </c>
      <c r="H15" s="733">
        <v>6.6000000000000003E-2</v>
      </c>
      <c r="I15" s="622">
        <v>45689</v>
      </c>
      <c r="J15" s="620">
        <v>50000</v>
      </c>
      <c r="K15" s="620">
        <v>0</v>
      </c>
      <c r="L15" s="590" t="s">
        <v>186</v>
      </c>
      <c r="M15" s="591">
        <f>IF(Table1351452010[[#This Row],[หัก ณ ที่จ่าย
(ค่าบริการ)]]="มี",Table1351452010[[#This Row],[ค่าบริการเฉลี่ยต่อเดือน]]*3%,0)</f>
        <v>1500</v>
      </c>
      <c r="N15" s="534">
        <f>Table1351452010[[#This Row],[ค่าบริการเฉลี่ยต่อเดือน]]-Table1351452010[[#This Row],[มูลค่าหัก 3%]]</f>
        <v>48500</v>
      </c>
      <c r="O15"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76824</v>
      </c>
      <c r="P15" s="735">
        <f>Table1351452010[[#This Row],[ระยะเวลาสัญญา
(เดือน)]]/$P$5</f>
        <v>2</v>
      </c>
      <c r="Q15" s="737">
        <f>Table1351452010[[#This Row],[Total
รายการเบิก
คอมขาย
(1)]]/Table1351452010[[#This Row],[แบ่งจ่าย/งวด
(ตามปีสัญญา)]]</f>
        <v>38412</v>
      </c>
      <c r="R15" s="752">
        <v>38412</v>
      </c>
      <c r="S15" s="738"/>
      <c r="T15" s="738"/>
      <c r="U15" s="762"/>
      <c r="V15" s="621">
        <v>70000</v>
      </c>
      <c r="W15" s="593" t="s">
        <v>186</v>
      </c>
      <c r="X15" s="594">
        <f>IF(Table1351452010[[#This Row],[หัก ณ ที่จ่าย
(ค่าติตั้ง)]]="มี",Table1351452010[[#This Row],[ค่าเชื่อมสัญญาณ/
ค่าติดตั้ง/
ค่าขายอุปกรณ์]]*$X$3,0)</f>
        <v>2100</v>
      </c>
      <c r="Y15" s="396">
        <f>Table1351452010[[#This Row],[ค่าเชื่อมสัญญาณ/
ค่าติดตั้ง/
ค่าขายอุปกรณ์]]-Table1351452010[[#This Row],[มูลค่าหัก 3%
(ค่าติดตั้ง)]]</f>
        <v>67900</v>
      </c>
      <c r="Z15" s="331">
        <v>638274</v>
      </c>
      <c r="AA15" s="664">
        <f>Table1351452010[[#This Row],[ค่าเชื่อมสัญญาณ/
ค่าติดตั้ง/
ค่าขายอุปกรณ์
(เรียกเก็บสุทธิ)]]-Table1351452010[[#This Row],[ต้นทุน]]</f>
        <v>-570374</v>
      </c>
      <c r="AB15" s="536">
        <f>IF(Table1351452010[[#This Row],[ส่วนต่างกำไร]]&lt;(Table1351452010[[#This Row],[ต้นทุน]]*5%),Table1351452010[[#This Row],[ค่าเชื่อมสัญญาณ/
ค่าติดตั้ง/
ค่าขายอุปกรณ์
(เรียกเก็บสุทธิ)]]*$AB$3,"0")</f>
        <v>3395</v>
      </c>
      <c r="AC15" s="536" t="str">
        <f>IF(Table1351452010[[#This Row],[ส่วนต่างกำไร]]&gt;=(Table1351452010[[#This Row],[ต้นทุน]]*5%),Table1351452010[[#This Row],[ค่าเชื่อมสัญญาณ/
ค่าติดตั้ง/
ค่าขายอุปกรณ์
(เรียกเก็บสุทธิ)]]*$AC$3,"0")</f>
        <v>0</v>
      </c>
      <c r="AD15" s="611">
        <f>SUM(Table1351452010[[#This Row],[คอมฯ
 5%]:[คอมฯ
10%]])</f>
        <v>3395</v>
      </c>
      <c r="AE15" s="623">
        <v>0</v>
      </c>
      <c r="AF15" s="593"/>
      <c r="AG15" s="615">
        <f>IF(Table1351452010[[#This Row],[หัก ณ ที่จ่าย
(ค่าเชื่อมสัญญาณ)]]="มี",Table1351452010[[#This Row],[ค่าเชื่อมสัญญาณ]]*$AG$3,0)</f>
        <v>0</v>
      </c>
      <c r="AH15" s="397">
        <f>Table1351452010[[#This Row],[ค่าเชื่อมสัญญาณ]]-Table1351452010[[#This Row],[มูลค่าหัก 3%
(ค่าเชื่อมสัญญาณ)]]</f>
        <v>0</v>
      </c>
      <c r="AI15" s="402">
        <f>Table1351452010[[#This Row],[ค่าเชื่อมสัญญาณ
(เรียกเก็บสุทธิ)]]*$AI$4</f>
        <v>0</v>
      </c>
      <c r="AJ15" s="537">
        <f>Table1351452010[[#This Row],[ปีที่1
(ทำจ่ายรอบ 3/2025)]]+Table1351452010[[#This Row],[Total
ค่าเชื่มสัญญาณ/ค่าติดตั้ง/
ค่าขายอุปกรณ์
(2)]]+Table1351452010[[#This Row],[Total 
คอมฯค่าเชื่อมสัญญาณ
(3)]]</f>
        <v>41807</v>
      </c>
      <c r="AK15" s="538" t="s">
        <v>251</v>
      </c>
      <c r="AL15" s="538" t="s">
        <v>265</v>
      </c>
      <c r="AM15" s="539" t="s">
        <v>225</v>
      </c>
      <c r="AN15" s="507" t="s">
        <v>243</v>
      </c>
    </row>
    <row r="16" spans="1:40" s="567" customFormat="1" ht="27" customHeight="1">
      <c r="A16" s="720" t="s">
        <v>217</v>
      </c>
      <c r="B16" s="543"/>
      <c r="C16" s="541"/>
      <c r="D16" s="740" t="s">
        <v>256</v>
      </c>
      <c r="E16" s="542"/>
      <c r="F16" s="542"/>
      <c r="G16" s="568"/>
      <c r="H16" s="669"/>
      <c r="I16" s="544"/>
      <c r="J16" s="542"/>
      <c r="K16" s="542"/>
      <c r="L16" s="545"/>
      <c r="M16" s="545"/>
      <c r="N16" s="546"/>
      <c r="O16" s="547"/>
      <c r="P16" s="548"/>
      <c r="Q16" s="682"/>
      <c r="R16" s="765" t="s">
        <v>250</v>
      </c>
      <c r="S16" s="754"/>
      <c r="T16" s="754"/>
      <c r="U16" s="755"/>
      <c r="V16" s="391"/>
      <c r="W16" s="409"/>
      <c r="X16" s="411"/>
      <c r="Y16" s="389"/>
      <c r="Z16" s="392"/>
      <c r="AA16" s="665">
        <f t="shared" ref="AA16" si="2">AA15/Z15</f>
        <v>-0.893619354697199</v>
      </c>
      <c r="AB16" s="587"/>
      <c r="AC16" s="587"/>
      <c r="AD16" s="612"/>
      <c r="AE16" s="406"/>
      <c r="AF16" s="409"/>
      <c r="AG16" s="409"/>
      <c r="AH16" s="393"/>
      <c r="AI16" s="403"/>
      <c r="AJ16" s="549"/>
      <c r="AK16" s="550" t="s">
        <v>252</v>
      </c>
      <c r="AL16" s="550"/>
      <c r="AM16" s="551"/>
      <c r="AN16" s="507"/>
    </row>
    <row r="17" spans="1:40" s="567" customFormat="1" ht="27" customHeight="1">
      <c r="A17" s="540"/>
      <c r="B17" s="543"/>
      <c r="C17" s="540"/>
      <c r="D17" s="744"/>
      <c r="E17" s="552"/>
      <c r="F17" s="552"/>
      <c r="G17" s="568"/>
      <c r="H17" s="669"/>
      <c r="I17" s="544"/>
      <c r="J17" s="542"/>
      <c r="K17" s="542"/>
      <c r="L17" s="545"/>
      <c r="M17" s="545"/>
      <c r="N17" s="542"/>
      <c r="O17" s="553"/>
      <c r="P17" s="554"/>
      <c r="Q17" s="683"/>
      <c r="R17" s="756"/>
      <c r="S17" s="757"/>
      <c r="T17" s="757"/>
      <c r="U17" s="758"/>
      <c r="V17" s="391"/>
      <c r="W17" s="409"/>
      <c r="X17" s="411"/>
      <c r="Y17" s="389"/>
      <c r="Z17" s="392"/>
      <c r="AA17" s="392"/>
      <c r="AB17" s="587"/>
      <c r="AC17" s="587"/>
      <c r="AD17" s="613"/>
      <c r="AE17" s="407"/>
      <c r="AF17" s="409"/>
      <c r="AG17" s="409"/>
      <c r="AH17" s="393"/>
      <c r="AI17" s="403"/>
      <c r="AJ17" s="549"/>
      <c r="AK17" s="550"/>
      <c r="AL17" s="550"/>
      <c r="AM17" s="551"/>
      <c r="AN17" s="507"/>
    </row>
    <row r="18" spans="1:40" s="567" customFormat="1" ht="27" customHeight="1" thickBot="1">
      <c r="A18" s="555"/>
      <c r="B18" s="557"/>
      <c r="C18" s="555"/>
      <c r="D18" s="745"/>
      <c r="E18" s="556"/>
      <c r="F18" s="556"/>
      <c r="G18" s="558"/>
      <c r="H18" s="670"/>
      <c r="I18" s="559"/>
      <c r="J18" s="560"/>
      <c r="K18" s="560"/>
      <c r="L18" s="561"/>
      <c r="M18" s="561"/>
      <c r="N18" s="560"/>
      <c r="O18" s="562"/>
      <c r="P18" s="563"/>
      <c r="Q18" s="684"/>
      <c r="R18" s="759"/>
      <c r="S18" s="760"/>
      <c r="T18" s="760"/>
      <c r="U18" s="761"/>
      <c r="V18" s="394"/>
      <c r="W18" s="410"/>
      <c r="X18" s="412"/>
      <c r="Y18" s="390"/>
      <c r="Z18" s="388"/>
      <c r="AA18" s="666"/>
      <c r="AB18" s="588"/>
      <c r="AC18" s="588"/>
      <c r="AD18" s="614"/>
      <c r="AE18" s="408"/>
      <c r="AF18" s="410"/>
      <c r="AG18" s="410"/>
      <c r="AH18" s="395"/>
      <c r="AI18" s="404"/>
      <c r="AJ18" s="564"/>
      <c r="AK18" s="565"/>
      <c r="AL18" s="565"/>
      <c r="AM18" s="566"/>
      <c r="AN18" s="680"/>
    </row>
    <row r="19" spans="1:40" s="567" customFormat="1" ht="27" customHeight="1">
      <c r="A19" s="616">
        <v>4</v>
      </c>
      <c r="B19" s="732">
        <v>45566</v>
      </c>
      <c r="C19" s="617">
        <v>120000069173</v>
      </c>
      <c r="D19" s="739" t="s">
        <v>269</v>
      </c>
      <c r="E19" s="618" t="s">
        <v>70</v>
      </c>
      <c r="F19" s="618" t="s">
        <v>45</v>
      </c>
      <c r="G19" s="619">
        <v>24</v>
      </c>
      <c r="H19" s="733">
        <v>6.6000000000000003E-2</v>
      </c>
      <c r="I19" s="622">
        <v>45689</v>
      </c>
      <c r="J19" s="620">
        <v>1500</v>
      </c>
      <c r="K19" s="620">
        <v>0</v>
      </c>
      <c r="L19" s="767" t="s">
        <v>186</v>
      </c>
      <c r="M19" s="768">
        <f>IF(Table1351452010[[#This Row],[หัก ณ ที่จ่าย
(ค่าบริการ)]]="มี",Table1351452010[[#This Row],[ค่าบริการเฉลี่ยต่อเดือน]]*3%,0)</f>
        <v>45</v>
      </c>
      <c r="N19" s="534">
        <f>Table1351452010[[#This Row],[ค่าบริการเฉลี่ยต่อเดือน]]-Table1351452010[[#This Row],[มูลค่าหัก 3%]]</f>
        <v>1455</v>
      </c>
      <c r="O19"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2304.7200000000003</v>
      </c>
      <c r="P19" s="735">
        <f>Table1351452010[[#This Row],[ระยะเวลาสัญญา
(เดือน)]]/$P$5</f>
        <v>2</v>
      </c>
      <c r="Q19" s="737">
        <f>Table1351452010[[#This Row],[Total
รายการเบิก
คอมขาย
(1)]]/Table1351452010[[#This Row],[แบ่งจ่าย/งวด
(ตามปีสัญญา)]]</f>
        <v>1152.3600000000001</v>
      </c>
      <c r="R19" s="752">
        <v>1152.3599999999999</v>
      </c>
      <c r="S19" s="738"/>
      <c r="T19" s="738"/>
      <c r="U19" s="762"/>
      <c r="V19" s="621">
        <v>0</v>
      </c>
      <c r="W19" s="593"/>
      <c r="X19" s="594">
        <f>IF(Table1351452010[[#This Row],[หัก ณ ที่จ่าย
(ค่าติตั้ง)]]="มี",Table1351452010[[#This Row],[ค่าเชื่อมสัญญาณ/
ค่าติดตั้ง/
ค่าขายอุปกรณ์]]*$X$3,0)</f>
        <v>0</v>
      </c>
      <c r="Y19" s="396">
        <f>Table1351452010[[#This Row],[ค่าเชื่อมสัญญาณ/
ค่าติดตั้ง/
ค่าขายอุปกรณ์]]-Table1351452010[[#This Row],[มูลค่าหัก 3%
(ค่าติดตั้ง)]]</f>
        <v>0</v>
      </c>
      <c r="Z19" s="331"/>
      <c r="AA19" s="664">
        <f>Table1351452010[[#This Row],[ค่าเชื่อมสัญญาณ/
ค่าติดตั้ง/
ค่าขายอุปกรณ์
(เรียกเก็บสุทธิ)]]-Table1351452010[[#This Row],[ต้นทุน]]</f>
        <v>0</v>
      </c>
      <c r="AB19" s="536" t="str">
        <f>IF(Table1351452010[[#This Row],[ส่วนต่างกำไร]]&lt;(Table1351452010[[#This Row],[ต้นทุน]]*5%),Table1351452010[[#This Row],[ค่าเชื่อมสัญญาณ/
ค่าติดตั้ง/
ค่าขายอุปกรณ์
(เรียกเก็บสุทธิ)]]*$AB$3,"0")</f>
        <v>0</v>
      </c>
      <c r="AC19" s="536">
        <f>IF(Table1351452010[[#This Row],[ส่วนต่างกำไร]]&gt;=(Table1351452010[[#This Row],[ต้นทุน]]*5%),Table1351452010[[#This Row],[ค่าเชื่อมสัญญาณ/
ค่าติดตั้ง/
ค่าขายอุปกรณ์
(เรียกเก็บสุทธิ)]]*$AC$3,"0")</f>
        <v>0</v>
      </c>
      <c r="AD19" s="611">
        <f>SUM(Table1351452010[[#This Row],[คอมฯ
 5%]:[คอมฯ
10%]])</f>
        <v>0</v>
      </c>
      <c r="AE19" s="623">
        <v>0</v>
      </c>
      <c r="AF19" s="593"/>
      <c r="AG19" s="615">
        <f>IF(Table1351452010[[#This Row],[หัก ณ ที่จ่าย
(ค่าเชื่อมสัญญาณ)]]="มี",Table1351452010[[#This Row],[ค่าเชื่อมสัญญาณ]]*$AG$3,0)</f>
        <v>0</v>
      </c>
      <c r="AH19" s="397">
        <f>Table1351452010[[#This Row],[ค่าเชื่อมสัญญาณ]]-Table1351452010[[#This Row],[มูลค่าหัก 3%
(ค่าเชื่อมสัญญาณ)]]</f>
        <v>0</v>
      </c>
      <c r="AI19" s="402">
        <f>Table1351452010[[#This Row],[ค่าเชื่อมสัญญาณ
(เรียกเก็บสุทธิ)]]*$AI$4</f>
        <v>0</v>
      </c>
      <c r="AJ19" s="537">
        <f>Table1351452010[[#This Row],[ปีที่1
(ทำจ่ายรอบ 3/2025)]]+Table1351452010[[#This Row],[Total
ค่าเชื่มสัญญาณ/ค่าติดตั้ง/
ค่าขายอุปกรณ์
(2)]]+Table1351452010[[#This Row],[Total 
คอมฯค่าเชื่อมสัญญาณ
(3)]]</f>
        <v>1152.3600000000001</v>
      </c>
      <c r="AK19" s="538" t="s">
        <v>272</v>
      </c>
      <c r="AL19" s="538" t="s">
        <v>267</v>
      </c>
      <c r="AM19" s="539" t="s">
        <v>268</v>
      </c>
      <c r="AN19" s="507" t="s">
        <v>243</v>
      </c>
    </row>
    <row r="20" spans="1:40" s="567" customFormat="1" ht="27" customHeight="1">
      <c r="A20" s="720" t="s">
        <v>218</v>
      </c>
      <c r="B20" s="543"/>
      <c r="C20" s="541"/>
      <c r="D20" s="740" t="s">
        <v>270</v>
      </c>
      <c r="E20" s="542"/>
      <c r="F20" s="542"/>
      <c r="G20" s="568"/>
      <c r="H20" s="669"/>
      <c r="I20" s="544"/>
      <c r="J20" s="769"/>
      <c r="K20" s="769"/>
      <c r="L20" s="770"/>
      <c r="M20" s="771"/>
      <c r="N20" s="546"/>
      <c r="O20" s="547"/>
      <c r="P20" s="548"/>
      <c r="Q20" s="682"/>
      <c r="R20" s="765" t="s">
        <v>250</v>
      </c>
      <c r="S20" s="754"/>
      <c r="T20" s="754"/>
      <c r="U20" s="755"/>
      <c r="V20" s="391"/>
      <c r="W20" s="409"/>
      <c r="X20" s="411"/>
      <c r="Y20" s="389"/>
      <c r="Z20" s="392"/>
      <c r="AA20" s="665" t="e">
        <f t="shared" ref="AA20" si="3">AA19/Z19</f>
        <v>#DIV/0!</v>
      </c>
      <c r="AB20" s="587"/>
      <c r="AC20" s="587"/>
      <c r="AD20" s="612"/>
      <c r="AE20" s="406"/>
      <c r="AF20" s="409"/>
      <c r="AG20" s="409"/>
      <c r="AH20" s="393"/>
      <c r="AI20" s="403"/>
      <c r="AJ20" s="549"/>
      <c r="AK20" s="550"/>
      <c r="AL20" s="550"/>
      <c r="AM20" s="551"/>
      <c r="AN20" s="507"/>
    </row>
    <row r="21" spans="1:40" s="567" customFormat="1" ht="27" customHeight="1">
      <c r="A21" s="540">
        <v>23.8857142857143</v>
      </c>
      <c r="B21" s="543"/>
      <c r="C21" s="540"/>
      <c r="D21" s="744" t="s">
        <v>271</v>
      </c>
      <c r="E21" s="552"/>
      <c r="F21" s="552"/>
      <c r="G21" s="568"/>
      <c r="H21" s="669"/>
      <c r="I21" s="544"/>
      <c r="J21" s="542"/>
      <c r="K21" s="542"/>
      <c r="L21" s="545"/>
      <c r="M21" s="545"/>
      <c r="N21" s="542"/>
      <c r="O21" s="553"/>
      <c r="P21" s="554"/>
      <c r="Q21" s="683"/>
      <c r="R21" s="756"/>
      <c r="S21" s="757"/>
      <c r="T21" s="757"/>
      <c r="U21" s="758"/>
      <c r="V21" s="391"/>
      <c r="W21" s="409"/>
      <c r="X21" s="411"/>
      <c r="Y21" s="389"/>
      <c r="Z21" s="392"/>
      <c r="AA21" s="392"/>
      <c r="AB21" s="587"/>
      <c r="AC21" s="587"/>
      <c r="AD21" s="613"/>
      <c r="AE21" s="407"/>
      <c r="AF21" s="409"/>
      <c r="AG21" s="409"/>
      <c r="AH21" s="393"/>
      <c r="AI21" s="403"/>
      <c r="AJ21" s="549"/>
      <c r="AK21" s="550"/>
      <c r="AL21" s="550"/>
      <c r="AM21" s="551"/>
      <c r="AN21" s="507"/>
    </row>
    <row r="22" spans="1:40" s="567" customFormat="1" ht="27" customHeight="1" thickBot="1">
      <c r="A22" s="555">
        <v>25.092857142857198</v>
      </c>
      <c r="B22" s="557"/>
      <c r="C22" s="555"/>
      <c r="D22" s="745" t="s">
        <v>284</v>
      </c>
      <c r="E22" s="556"/>
      <c r="F22" s="556"/>
      <c r="G22" s="558"/>
      <c r="H22" s="670"/>
      <c r="I22" s="559"/>
      <c r="J22" s="560"/>
      <c r="K22" s="560"/>
      <c r="L22" s="766"/>
      <c r="M22" s="561"/>
      <c r="N22" s="560"/>
      <c r="O22" s="562"/>
      <c r="P22" s="563"/>
      <c r="Q22" s="684"/>
      <c r="R22" s="759"/>
      <c r="S22" s="760"/>
      <c r="T22" s="760"/>
      <c r="U22" s="761"/>
      <c r="V22" s="394"/>
      <c r="W22" s="410"/>
      <c r="X22" s="412"/>
      <c r="Y22" s="390"/>
      <c r="Z22" s="388"/>
      <c r="AA22" s="666"/>
      <c r="AB22" s="588"/>
      <c r="AC22" s="588"/>
      <c r="AD22" s="614"/>
      <c r="AE22" s="408"/>
      <c r="AF22" s="410"/>
      <c r="AG22" s="410"/>
      <c r="AH22" s="395"/>
      <c r="AI22" s="404"/>
      <c r="AJ22" s="564"/>
      <c r="AK22" s="565"/>
      <c r="AL22" s="565"/>
      <c r="AM22" s="566"/>
      <c r="AN22" s="680"/>
    </row>
    <row r="23" spans="1:40" s="567" customFormat="1" ht="27" customHeight="1">
      <c r="A23" s="616">
        <v>5</v>
      </c>
      <c r="B23" s="732">
        <v>45627</v>
      </c>
      <c r="C23" s="617">
        <v>120000069170</v>
      </c>
      <c r="D23" s="739" t="s">
        <v>253</v>
      </c>
      <c r="E23" s="618" t="s">
        <v>74</v>
      </c>
      <c r="F23" s="618" t="s">
        <v>45</v>
      </c>
      <c r="G23" s="619">
        <v>24</v>
      </c>
      <c r="H23" s="733">
        <v>4.2999999999999997E-2</v>
      </c>
      <c r="I23" s="622">
        <v>45689</v>
      </c>
      <c r="J23" s="620">
        <v>14100</v>
      </c>
      <c r="K23" s="620">
        <v>0</v>
      </c>
      <c r="L23" s="590" t="s">
        <v>187</v>
      </c>
      <c r="M23" s="591">
        <f>IF(Table1351452010[[#This Row],[หัก ณ ที่จ่าย
(ค่าบริการ)]]="มี",Table1351452010[[#This Row],[ค่าบริการเฉลี่ยต่อเดือน]]*3%,0)</f>
        <v>0</v>
      </c>
      <c r="N23" s="534">
        <f>Table1351452010[[#This Row],[ค่าบริการเฉลี่ยต่อเดือน]]-Table1351452010[[#This Row],[มูลค่าหัก 3%]]</f>
        <v>14100</v>
      </c>
      <c r="O23"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14551.199999999999</v>
      </c>
      <c r="P23" s="735">
        <f>Table1351452010[[#This Row],[ระยะเวลาสัญญา
(เดือน)]]/$P$5</f>
        <v>2</v>
      </c>
      <c r="Q23" s="737">
        <f>Table1351452010[[#This Row],[Total
รายการเบิก
คอมขาย
(1)]]/Table1351452010[[#This Row],[แบ่งจ่าย/งวด
(ตามปีสัญญา)]]</f>
        <v>7275.5999999999995</v>
      </c>
      <c r="R23" s="752">
        <v>7275.6</v>
      </c>
      <c r="S23" s="738"/>
      <c r="T23" s="738"/>
      <c r="U23" s="762"/>
      <c r="V23" s="621">
        <v>50000</v>
      </c>
      <c r="W23" s="593" t="s">
        <v>187</v>
      </c>
      <c r="X23" s="594">
        <f>IF(Table1351452010[[#This Row],[หัก ณ ที่จ่าย
(ค่าติตั้ง)]]="มี",Table1351452010[[#This Row],[ค่าเชื่อมสัญญาณ/
ค่าติดตั้ง/
ค่าขายอุปกรณ์]]*$X$3,0)</f>
        <v>0</v>
      </c>
      <c r="Y23" s="779">
        <f>(Table1351452010[[#This Row],[ค่าเชื่อมสัญญาณ/
ค่าติดตั้ง/
ค่าขายอุปกรณ์]]+V24)-Table1351452010[[#This Row],[มูลค่าหัก 3%
(ค่าติดตั้ง)]]</f>
        <v>62000</v>
      </c>
      <c r="Z23" s="331">
        <v>169755.46</v>
      </c>
      <c r="AA23" s="664">
        <f>Table1351452010[[#This Row],[ค่าเชื่อมสัญญาณ/
ค่าติดตั้ง/
ค่าขายอุปกรณ์
(เรียกเก็บสุทธิ)]]-Table1351452010[[#This Row],[ต้นทุน]]</f>
        <v>-107755.45999999999</v>
      </c>
      <c r="AB23" s="536">
        <f>IF(Table1351452010[[#This Row],[ส่วนต่างกำไร]]&lt;(Table1351452010[[#This Row],[ต้นทุน]]*5%),Table1351452010[[#This Row],[ค่าเชื่อมสัญญาณ/
ค่าติดตั้ง/
ค่าขายอุปกรณ์
(เรียกเก็บสุทธิ)]]*$AB$3,"0")</f>
        <v>3100</v>
      </c>
      <c r="AC23" s="536" t="str">
        <f>IF(Table1351452010[[#This Row],[ส่วนต่างกำไร]]&gt;=(Table1351452010[[#This Row],[ต้นทุน]]*5%),Table1351452010[[#This Row],[ค่าเชื่อมสัญญาณ/
ค่าติดตั้ง/
ค่าขายอุปกรณ์
(เรียกเก็บสุทธิ)]]*$AC$3,"0")</f>
        <v>0</v>
      </c>
      <c r="AD23" s="611">
        <f>SUM(Table1351452010[[#This Row],[คอมฯ
 5%]:[คอมฯ
10%]])</f>
        <v>3100</v>
      </c>
      <c r="AE23" s="623"/>
      <c r="AF23" s="593"/>
      <c r="AG23" s="615">
        <f>IF(Table1351452010[[#This Row],[หัก ณ ที่จ่าย
(ค่าเชื่อมสัญญาณ)]]="มี",Table1351452010[[#This Row],[ค่าเชื่อมสัญญาณ]]*$AG$3,0)</f>
        <v>0</v>
      </c>
      <c r="AH23" s="397">
        <f>Table1351452010[[#This Row],[ค่าเชื่อมสัญญาณ]]-Table1351452010[[#This Row],[มูลค่าหัก 3%
(ค่าเชื่อมสัญญาณ)]]</f>
        <v>0</v>
      </c>
      <c r="AI23" s="402">
        <f>Table1351452010[[#This Row],[ค่าเชื่อมสัญญาณ
(เรียกเก็บสุทธิ)]]*$AI$4</f>
        <v>0</v>
      </c>
      <c r="AJ23" s="537">
        <f>Table1351452010[[#This Row],[ปีที่1
(ทำจ่ายรอบ 3/2025)]]+Table1351452010[[#This Row],[Total
ค่าเชื่มสัญญาณ/ค่าติดตั้ง/
ค่าขายอุปกรณ์
(2)]]+Table1351452010[[#This Row],[Total 
คอมฯค่าเชื่อมสัญญาณ
(3)]]</f>
        <v>10375.599999999999</v>
      </c>
      <c r="AK23" s="538" t="s">
        <v>257</v>
      </c>
      <c r="AL23" s="538" t="s">
        <v>261</v>
      </c>
      <c r="AM23" s="539" t="s">
        <v>260</v>
      </c>
      <c r="AN23" s="507" t="s">
        <v>243</v>
      </c>
    </row>
    <row r="24" spans="1:40" s="567" customFormat="1" ht="27" customHeight="1">
      <c r="A24" s="720" t="s">
        <v>217</v>
      </c>
      <c r="B24" s="543"/>
      <c r="C24" s="541"/>
      <c r="D24" s="740" t="s">
        <v>254</v>
      </c>
      <c r="E24" s="542"/>
      <c r="F24" s="542"/>
      <c r="G24" s="568"/>
      <c r="H24" s="669"/>
      <c r="I24" s="544"/>
      <c r="J24" s="542"/>
      <c r="K24" s="542"/>
      <c r="L24" s="545"/>
      <c r="M24" s="545"/>
      <c r="N24" s="546"/>
      <c r="O24" s="547"/>
      <c r="P24" s="548"/>
      <c r="Q24" s="682"/>
      <c r="R24" s="765" t="s">
        <v>250</v>
      </c>
      <c r="S24" s="754"/>
      <c r="T24" s="754"/>
      <c r="U24" s="755"/>
      <c r="V24" s="391">
        <v>12000</v>
      </c>
      <c r="W24" s="773" t="s">
        <v>187</v>
      </c>
      <c r="X24" s="775">
        <f>IF(Table1351452010[[#This Row],[หัก ณ ที่จ่าย
(ค่าติตั้ง)]]="มี",Table1351452010[[#This Row],[ค่าเชื่อมสัญญาณ/
ค่าติดตั้ง/
ค่าขายอุปกรณ์]]*$X$3,0)</f>
        <v>0</v>
      </c>
      <c r="Y24" s="389"/>
      <c r="Z24" s="392"/>
      <c r="AA24" s="665">
        <f t="shared" ref="AA24" si="4">AA23/Z23</f>
        <v>-0.63476874322628563</v>
      </c>
      <c r="AB24" s="587"/>
      <c r="AC24" s="587"/>
      <c r="AD24" s="612"/>
      <c r="AE24" s="406"/>
      <c r="AF24" s="409"/>
      <c r="AG24" s="409"/>
      <c r="AH24" s="393"/>
      <c r="AI24" s="403"/>
      <c r="AJ24" s="549"/>
      <c r="AK24" s="550" t="s">
        <v>258</v>
      </c>
      <c r="AL24" s="550"/>
      <c r="AM24" s="551"/>
      <c r="AN24" s="507"/>
    </row>
    <row r="25" spans="1:40" s="567" customFormat="1" ht="27" customHeight="1">
      <c r="A25" s="540">
        <v>23.8857142857143</v>
      </c>
      <c r="B25" s="543"/>
      <c r="C25" s="540"/>
      <c r="D25" s="744"/>
      <c r="E25" s="552"/>
      <c r="F25" s="552"/>
      <c r="G25" s="568"/>
      <c r="H25" s="669"/>
      <c r="I25" s="544"/>
      <c r="J25" s="542"/>
      <c r="K25" s="542"/>
      <c r="L25" s="545"/>
      <c r="M25" s="545"/>
      <c r="N25" s="542"/>
      <c r="O25" s="553"/>
      <c r="P25" s="554"/>
      <c r="Q25" s="683"/>
      <c r="R25" s="756"/>
      <c r="S25" s="757"/>
      <c r="T25" s="757"/>
      <c r="U25" s="758"/>
      <c r="V25" s="391"/>
      <c r="W25" s="409"/>
      <c r="X25" s="411"/>
      <c r="Y25" s="389"/>
      <c r="Z25" s="392"/>
      <c r="AA25" s="392"/>
      <c r="AB25" s="587"/>
      <c r="AC25" s="587"/>
      <c r="AD25" s="613"/>
      <c r="AE25" s="407"/>
      <c r="AF25" s="409"/>
      <c r="AG25" s="409"/>
      <c r="AH25" s="393"/>
      <c r="AI25" s="403"/>
      <c r="AJ25" s="549"/>
      <c r="AK25" s="550" t="s">
        <v>259</v>
      </c>
      <c r="AL25" s="550"/>
      <c r="AM25" s="551"/>
      <c r="AN25" s="507"/>
    </row>
    <row r="26" spans="1:40" s="567" customFormat="1" ht="27" customHeight="1" thickBot="1">
      <c r="A26" s="555">
        <v>25.092857142857198</v>
      </c>
      <c r="B26" s="557"/>
      <c r="C26" s="555"/>
      <c r="D26" s="745"/>
      <c r="E26" s="556"/>
      <c r="F26" s="556"/>
      <c r="G26" s="558"/>
      <c r="H26" s="670"/>
      <c r="I26" s="559"/>
      <c r="J26" s="560"/>
      <c r="K26" s="560"/>
      <c r="L26" s="561"/>
      <c r="M26" s="561"/>
      <c r="N26" s="560"/>
      <c r="O26" s="562"/>
      <c r="P26" s="563"/>
      <c r="Q26" s="684"/>
      <c r="R26" s="759"/>
      <c r="S26" s="760"/>
      <c r="T26" s="760"/>
      <c r="U26" s="761"/>
      <c r="V26" s="394"/>
      <c r="W26" s="410"/>
      <c r="X26" s="412"/>
      <c r="Y26" s="390"/>
      <c r="Z26" s="388"/>
      <c r="AA26" s="666"/>
      <c r="AB26" s="588"/>
      <c r="AC26" s="588"/>
      <c r="AD26" s="614"/>
      <c r="AE26" s="408"/>
      <c r="AF26" s="410"/>
      <c r="AG26" s="410"/>
      <c r="AH26" s="395"/>
      <c r="AI26" s="404"/>
      <c r="AJ26" s="564"/>
      <c r="AK26" s="565"/>
      <c r="AL26" s="565"/>
      <c r="AM26" s="566"/>
      <c r="AN26" s="680"/>
    </row>
    <row r="27" spans="1:40" s="567" customFormat="1" ht="27" customHeight="1">
      <c r="A27" s="616">
        <v>6</v>
      </c>
      <c r="B27" s="732">
        <v>45627</v>
      </c>
      <c r="C27" s="617">
        <v>120000069059</v>
      </c>
      <c r="D27" s="739" t="s">
        <v>262</v>
      </c>
      <c r="E27" s="618" t="s">
        <v>151</v>
      </c>
      <c r="F27" s="618" t="s">
        <v>45</v>
      </c>
      <c r="G27" s="619">
        <v>12</v>
      </c>
      <c r="H27" s="733">
        <v>4.2999999999999997E-2</v>
      </c>
      <c r="I27" s="622">
        <v>45689</v>
      </c>
      <c r="J27" s="620">
        <v>16666</v>
      </c>
      <c r="K27" s="620">
        <v>0</v>
      </c>
      <c r="L27" s="590" t="s">
        <v>186</v>
      </c>
      <c r="M27" s="591">
        <f>IF(Table1351452010[[#This Row],[หัก ณ ที่จ่าย
(ค่าบริการ)]]="มี",Table1351452010[[#This Row],[ค่าบริการเฉลี่ยต่อเดือน]]*3%,0)</f>
        <v>499.97999999999996</v>
      </c>
      <c r="N27" s="534">
        <f>Table1351452010[[#This Row],[ค่าบริการเฉลี่ยต่อเดือน]]-Table1351452010[[#This Row],[มูลค่าหัก 3%]]</f>
        <v>16166.02</v>
      </c>
      <c r="O27"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8341.6663199999984</v>
      </c>
      <c r="P27" s="735">
        <f>Table1351452010[[#This Row],[ระยะเวลาสัญญา
(เดือน)]]/$P$5</f>
        <v>1</v>
      </c>
      <c r="Q27" s="737">
        <f>Table1351452010[[#This Row],[Total
รายการเบิก
คอมขาย
(1)]]/Table1351452010[[#This Row],[แบ่งจ่าย/งวด
(ตามปีสัญญา)]]</f>
        <v>8341.6663199999984</v>
      </c>
      <c r="R27" s="752"/>
      <c r="S27" s="738"/>
      <c r="T27" s="738"/>
      <c r="U27" s="762"/>
      <c r="V27" s="621">
        <v>0</v>
      </c>
      <c r="W27" s="593"/>
      <c r="X27" s="594">
        <f>IF(Table1351452010[[#This Row],[หัก ณ ที่จ่าย
(ค่าติตั้ง)]]="มี",Table1351452010[[#This Row],[ค่าเชื่อมสัญญาณ/
ค่าติดตั้ง/
ค่าขายอุปกรณ์]]*$X$3,0)</f>
        <v>0</v>
      </c>
      <c r="Y27" s="396">
        <f>Table1351452010[[#This Row],[ค่าเชื่อมสัญญาณ/
ค่าติดตั้ง/
ค่าขายอุปกรณ์]]-Table1351452010[[#This Row],[มูลค่าหัก 3%
(ค่าติดตั้ง)]]</f>
        <v>0</v>
      </c>
      <c r="Z27" s="331"/>
      <c r="AA27" s="664">
        <f>Table1351452010[[#This Row],[ค่าเชื่อมสัญญาณ/
ค่าติดตั้ง/
ค่าขายอุปกรณ์
(เรียกเก็บสุทธิ)]]-Table1351452010[[#This Row],[ต้นทุน]]</f>
        <v>0</v>
      </c>
      <c r="AB27" s="536" t="str">
        <f>IF(Table1351452010[[#This Row],[ส่วนต่างกำไร]]&lt;(Table1351452010[[#This Row],[ต้นทุน]]*5%),Table1351452010[[#This Row],[ค่าเชื่อมสัญญาณ/
ค่าติดตั้ง/
ค่าขายอุปกรณ์
(เรียกเก็บสุทธิ)]]*$AB$3,"0")</f>
        <v>0</v>
      </c>
      <c r="AC27" s="536">
        <f>IF(Table1351452010[[#This Row],[ส่วนต่างกำไร]]&gt;=(Table1351452010[[#This Row],[ต้นทุน]]*5%),Table1351452010[[#This Row],[ค่าเชื่อมสัญญาณ/
ค่าติดตั้ง/
ค่าขายอุปกรณ์
(เรียกเก็บสุทธิ)]]*$AC$3,"0")</f>
        <v>0</v>
      </c>
      <c r="AD27" s="611">
        <f>SUM(Table1351452010[[#This Row],[คอมฯ
 5%]:[คอมฯ
10%]])</f>
        <v>0</v>
      </c>
      <c r="AE27" s="623"/>
      <c r="AF27" s="593"/>
      <c r="AG27" s="615">
        <f>IF(Table1351452010[[#This Row],[หัก ณ ที่จ่าย
(ค่าเชื่อมสัญญาณ)]]="มี",Table1351452010[[#This Row],[ค่าเชื่อมสัญญาณ]]*$AG$3,0)</f>
        <v>0</v>
      </c>
      <c r="AH27" s="397">
        <f>Table1351452010[[#This Row],[ค่าเชื่อมสัญญาณ]]-Table1351452010[[#This Row],[มูลค่าหัก 3%
(ค่าเชื่อมสัญญาณ)]]</f>
        <v>0</v>
      </c>
      <c r="AI27" s="402">
        <f>Table1351452010[[#This Row],[ค่าเชื่อมสัญญาณ
(เรียกเก็บสุทธิ)]]*$AI$4</f>
        <v>0</v>
      </c>
      <c r="AJ27" s="537">
        <f>Table1351452010[[#This Row],[ปีที่1
(ทำจ่ายรอบ 3/2025)]]+Table1351452010[[#This Row],[Total
ค่าเชื่มสัญญาณ/ค่าติดตั้ง/
ค่าขายอุปกรณ์
(2)]]+Table1351452010[[#This Row],[Total 
คอมฯค่าเชื่อมสัญญาณ
(3)]]</f>
        <v>8341.6663199999984</v>
      </c>
      <c r="AK27" s="538" t="s">
        <v>264</v>
      </c>
      <c r="AL27" s="538" t="s">
        <v>266</v>
      </c>
      <c r="AM27" s="539" t="s">
        <v>208</v>
      </c>
      <c r="AN27" s="507" t="s">
        <v>243</v>
      </c>
    </row>
    <row r="28" spans="1:40" s="567" customFormat="1" ht="27" customHeight="1">
      <c r="A28" s="720" t="s">
        <v>217</v>
      </c>
      <c r="B28" s="543"/>
      <c r="C28" s="541"/>
      <c r="D28" s="740" t="s">
        <v>263</v>
      </c>
      <c r="E28" s="542"/>
      <c r="F28" s="542"/>
      <c r="G28" s="568"/>
      <c r="H28" s="669"/>
      <c r="I28" s="544"/>
      <c r="J28" s="542"/>
      <c r="K28" s="542"/>
      <c r="L28" s="545"/>
      <c r="M28" s="545"/>
      <c r="N28" s="546"/>
      <c r="O28" s="547"/>
      <c r="P28" s="548"/>
      <c r="Q28" s="682"/>
      <c r="R28" s="753"/>
      <c r="S28" s="754"/>
      <c r="T28" s="754"/>
      <c r="U28" s="755"/>
      <c r="V28" s="391"/>
      <c r="W28" s="409"/>
      <c r="X28" s="411"/>
      <c r="Y28" s="389"/>
      <c r="Z28" s="392"/>
      <c r="AA28" s="665" t="e">
        <f t="shared" ref="AA28" si="5">AA27/Z27</f>
        <v>#DIV/0!</v>
      </c>
      <c r="AB28" s="587"/>
      <c r="AC28" s="587"/>
      <c r="AD28" s="612"/>
      <c r="AE28" s="406"/>
      <c r="AF28" s="409"/>
      <c r="AG28" s="409"/>
      <c r="AH28" s="393"/>
      <c r="AI28" s="403"/>
      <c r="AJ28" s="549"/>
      <c r="AK28" s="550"/>
      <c r="AL28" s="550"/>
      <c r="AM28" s="551"/>
      <c r="AN28" s="507"/>
    </row>
    <row r="29" spans="1:40" s="567" customFormat="1" ht="27" customHeight="1">
      <c r="A29" s="540">
        <v>23.8857142857143</v>
      </c>
      <c r="B29" s="543"/>
      <c r="C29" s="540"/>
      <c r="D29" s="744"/>
      <c r="E29" s="552"/>
      <c r="F29" s="552"/>
      <c r="G29" s="568"/>
      <c r="H29" s="669"/>
      <c r="I29" s="544"/>
      <c r="J29" s="542"/>
      <c r="K29" s="542"/>
      <c r="L29" s="545"/>
      <c r="M29" s="545"/>
      <c r="N29" s="542"/>
      <c r="O29" s="553"/>
      <c r="P29" s="554"/>
      <c r="Q29" s="683"/>
      <c r="R29" s="756"/>
      <c r="S29" s="757"/>
      <c r="T29" s="757"/>
      <c r="U29" s="758"/>
      <c r="V29" s="391"/>
      <c r="W29" s="409"/>
      <c r="X29" s="411"/>
      <c r="Y29" s="389"/>
      <c r="Z29" s="392"/>
      <c r="AA29" s="392"/>
      <c r="AB29" s="587"/>
      <c r="AC29" s="587"/>
      <c r="AD29" s="613"/>
      <c r="AE29" s="407"/>
      <c r="AF29" s="409"/>
      <c r="AG29" s="409"/>
      <c r="AH29" s="393"/>
      <c r="AI29" s="403"/>
      <c r="AJ29" s="549"/>
      <c r="AK29" s="550"/>
      <c r="AL29" s="550"/>
      <c r="AM29" s="551"/>
      <c r="AN29" s="507"/>
    </row>
    <row r="30" spans="1:40" s="567" customFormat="1" ht="27" customHeight="1" thickBot="1">
      <c r="A30" s="555">
        <v>25.092857142857198</v>
      </c>
      <c r="B30" s="557"/>
      <c r="C30" s="555"/>
      <c r="D30" s="745"/>
      <c r="E30" s="556"/>
      <c r="F30" s="556"/>
      <c r="G30" s="558"/>
      <c r="H30" s="670"/>
      <c r="I30" s="559"/>
      <c r="J30" s="560"/>
      <c r="K30" s="560"/>
      <c r="L30" s="561"/>
      <c r="M30" s="561"/>
      <c r="N30" s="560"/>
      <c r="O30" s="562"/>
      <c r="P30" s="563"/>
      <c r="Q30" s="684"/>
      <c r="R30" s="759"/>
      <c r="S30" s="760"/>
      <c r="T30" s="760"/>
      <c r="U30" s="761"/>
      <c r="V30" s="394"/>
      <c r="W30" s="410"/>
      <c r="X30" s="412"/>
      <c r="Y30" s="390"/>
      <c r="Z30" s="388"/>
      <c r="AA30" s="666"/>
      <c r="AB30" s="588"/>
      <c r="AC30" s="588"/>
      <c r="AD30" s="614"/>
      <c r="AE30" s="408"/>
      <c r="AF30" s="410"/>
      <c r="AG30" s="410"/>
      <c r="AH30" s="395"/>
      <c r="AI30" s="404"/>
      <c r="AJ30" s="564"/>
      <c r="AK30" s="565"/>
      <c r="AL30" s="565"/>
      <c r="AM30" s="566"/>
      <c r="AN30" s="680"/>
    </row>
    <row r="31" spans="1:40" s="567" customFormat="1" ht="27" customHeight="1">
      <c r="A31" s="616">
        <v>7</v>
      </c>
      <c r="B31" s="732">
        <v>45505</v>
      </c>
      <c r="C31" s="617">
        <v>120000068450</v>
      </c>
      <c r="D31" s="739" t="s">
        <v>236</v>
      </c>
      <c r="E31" s="618" t="s">
        <v>74</v>
      </c>
      <c r="F31" s="618" t="s">
        <v>45</v>
      </c>
      <c r="G31" s="619"/>
      <c r="H31" s="733" t="s">
        <v>215</v>
      </c>
      <c r="I31" s="622">
        <v>45505</v>
      </c>
      <c r="J31" s="620">
        <v>3500</v>
      </c>
      <c r="K31" s="620">
        <v>0</v>
      </c>
      <c r="L31" s="590" t="s">
        <v>186</v>
      </c>
      <c r="M31" s="591">
        <f>IF(Table1351452010[[#This Row],[หัก ณ ที่จ่าย
(ค่าบริการ)]]="มี",Table1351452010[[#This Row],[ค่าบริการเฉลี่ยต่อเดือน]]*3%,0)</f>
        <v>105</v>
      </c>
      <c r="N31" s="534">
        <f>Table1351452010[[#This Row],[ค่าบริการเฉลี่ยต่อเดือน]]-Table1351452010[[#This Row],[มูลค่าหัก 3%]]</f>
        <v>3395</v>
      </c>
      <c r="O31" s="535">
        <f>Table1351452010[[#This Row],[ค่าบริการเฉลียรายเดือนตาม Package
(เรียกเก็บสุทธิ)]]</f>
        <v>3395</v>
      </c>
      <c r="P31" s="735"/>
      <c r="Q31" s="737">
        <f>Table1351452010[[#This Row],[Total
รายการเบิก
คอมขาย
(1)]]</f>
        <v>3395</v>
      </c>
      <c r="R31" s="752"/>
      <c r="S31" s="738"/>
      <c r="T31" s="738"/>
      <c r="U31" s="762"/>
      <c r="V31" s="621">
        <v>0</v>
      </c>
      <c r="W31" s="593"/>
      <c r="X31" s="594">
        <f>IF(Table1351452010[[#This Row],[หัก ณ ที่จ่าย
(ค่าติตั้ง)]]="มี",Table1351452010[[#This Row],[ค่าเชื่อมสัญญาณ/
ค่าติดตั้ง/
ค่าขายอุปกรณ์]]*$X$3,0)</f>
        <v>0</v>
      </c>
      <c r="Y31" s="396">
        <f>Table1351452010[[#This Row],[ค่าเชื่อมสัญญาณ/
ค่าติดตั้ง/
ค่าขายอุปกรณ์]]-Table1351452010[[#This Row],[มูลค่าหัก 3%
(ค่าติดตั้ง)]]</f>
        <v>0</v>
      </c>
      <c r="Z31" s="331"/>
      <c r="AA31" s="664">
        <f>Table1351452010[[#This Row],[ค่าเชื่อมสัญญาณ/
ค่าติดตั้ง/
ค่าขายอุปกรณ์
(เรียกเก็บสุทธิ)]]-Table1351452010[[#This Row],[ต้นทุน]]</f>
        <v>0</v>
      </c>
      <c r="AB31" s="536" t="str">
        <f>IF(Table1351452010[[#This Row],[ส่วนต่างกำไร]]&lt;(Table1351452010[[#This Row],[ต้นทุน]]*5%),Table1351452010[[#This Row],[ค่าเชื่อมสัญญาณ/
ค่าติดตั้ง/
ค่าขายอุปกรณ์
(เรียกเก็บสุทธิ)]]*$AB$3,"0")</f>
        <v>0</v>
      </c>
      <c r="AC31" s="536">
        <f>IF(Table1351452010[[#This Row],[ส่วนต่างกำไร]]&gt;=(Table1351452010[[#This Row],[ต้นทุน]]*5%),Table1351452010[[#This Row],[ค่าเชื่อมสัญญาณ/
ค่าติดตั้ง/
ค่าขายอุปกรณ์
(เรียกเก็บสุทธิ)]]*$AC$3,"0")</f>
        <v>0</v>
      </c>
      <c r="AD31" s="611">
        <f>SUM(Table1351452010[[#This Row],[คอมฯ
 5%]:[คอมฯ
10%]])</f>
        <v>0</v>
      </c>
      <c r="AE31" s="623">
        <v>0</v>
      </c>
      <c r="AF31" s="593"/>
      <c r="AG31" s="615">
        <f>IF(Table1351452010[[#This Row],[หัก ณ ที่จ่าย
(ค่าเชื่อมสัญญาณ)]]="มี",Table1351452010[[#This Row],[ค่าเชื่อมสัญญาณ]]*$AG$3,0)</f>
        <v>0</v>
      </c>
      <c r="AH31" s="397">
        <f>Table1351452010[[#This Row],[ค่าเชื่อมสัญญาณ]]-Table1351452010[[#This Row],[มูลค่าหัก 3%
(ค่าเชื่อมสัญญาณ)]]</f>
        <v>0</v>
      </c>
      <c r="AI31" s="402">
        <f>Table1351452010[[#This Row],[ค่าเชื่อมสัญญาณ
(เรียกเก็บสุทธิ)]]*$AI$4</f>
        <v>0</v>
      </c>
      <c r="AJ31" s="537">
        <f>Table1351452010[[#This Row],[ปีที่1
(ทำจ่ายรอบ 3/2025)]]+Table1351452010[[#This Row],[Total
ค่าเชื่มสัญญาณ/ค่าติดตั้ง/
ค่าขายอุปกรณ์
(2)]]+Table1351452010[[#This Row],[Total 
คอมฯค่าเชื่อมสัญญาณ
(3)]]</f>
        <v>3395</v>
      </c>
      <c r="AK31" s="538" t="s">
        <v>245</v>
      </c>
      <c r="AL31" s="538" t="s">
        <v>246</v>
      </c>
      <c r="AM31" s="539" t="s">
        <v>208</v>
      </c>
      <c r="AN31" s="507" t="s">
        <v>243</v>
      </c>
    </row>
    <row r="32" spans="1:40" s="567" customFormat="1" ht="27" customHeight="1">
      <c r="A32" s="720" t="s">
        <v>217</v>
      </c>
      <c r="B32" s="543"/>
      <c r="C32" s="541"/>
      <c r="D32" s="740" t="s">
        <v>237</v>
      </c>
      <c r="E32" s="542"/>
      <c r="F32" s="542"/>
      <c r="G32" s="568"/>
      <c r="H32" s="669"/>
      <c r="I32" s="544"/>
      <c r="J32" s="542"/>
      <c r="K32" s="542"/>
      <c r="L32" s="545"/>
      <c r="M32" s="545"/>
      <c r="N32" s="546"/>
      <c r="O32" s="547"/>
      <c r="P32" s="548"/>
      <c r="Q32" s="682"/>
      <c r="R32" s="753"/>
      <c r="S32" s="754"/>
      <c r="T32" s="754"/>
      <c r="U32" s="755"/>
      <c r="V32" s="391"/>
      <c r="W32" s="409"/>
      <c r="X32" s="411"/>
      <c r="Y32" s="389"/>
      <c r="Z32" s="392"/>
      <c r="AA32" s="665" t="e">
        <f t="shared" ref="AA32" si="6">AA31/Z31</f>
        <v>#DIV/0!</v>
      </c>
      <c r="AB32" s="587"/>
      <c r="AC32" s="587"/>
      <c r="AD32" s="612"/>
      <c r="AE32" s="406"/>
      <c r="AF32" s="409"/>
      <c r="AG32" s="409"/>
      <c r="AH32" s="393"/>
      <c r="AI32" s="403"/>
      <c r="AJ32" s="549"/>
      <c r="AK32" s="550"/>
      <c r="AL32" s="550"/>
      <c r="AM32" s="551"/>
      <c r="AN32" s="507"/>
    </row>
    <row r="33" spans="1:40" s="567" customFormat="1" ht="27" customHeight="1">
      <c r="A33" s="540">
        <v>23.8857142857143</v>
      </c>
      <c r="B33" s="543"/>
      <c r="C33" s="540"/>
      <c r="D33" s="744"/>
      <c r="E33" s="552"/>
      <c r="F33" s="552"/>
      <c r="G33" s="568"/>
      <c r="H33" s="669"/>
      <c r="I33" s="544"/>
      <c r="J33" s="542"/>
      <c r="K33" s="542"/>
      <c r="L33" s="545"/>
      <c r="M33" s="545"/>
      <c r="N33" s="542"/>
      <c r="O33" s="553"/>
      <c r="P33" s="554"/>
      <c r="Q33" s="683"/>
      <c r="R33" s="756"/>
      <c r="S33" s="757"/>
      <c r="T33" s="757"/>
      <c r="U33" s="758"/>
      <c r="V33" s="391"/>
      <c r="W33" s="409"/>
      <c r="X33" s="411"/>
      <c r="Y33" s="389"/>
      <c r="Z33" s="392"/>
      <c r="AA33" s="392"/>
      <c r="AB33" s="587"/>
      <c r="AC33" s="587"/>
      <c r="AD33" s="613"/>
      <c r="AE33" s="407"/>
      <c r="AF33" s="409"/>
      <c r="AG33" s="409"/>
      <c r="AH33" s="393"/>
      <c r="AI33" s="403"/>
      <c r="AJ33" s="549"/>
      <c r="AK33" s="550"/>
      <c r="AL33" s="550"/>
      <c r="AM33" s="551"/>
      <c r="AN33" s="507"/>
    </row>
    <row r="34" spans="1:40" s="567" customFormat="1" ht="27" customHeight="1" thickBot="1">
      <c r="A34" s="555">
        <v>25.092857142857198</v>
      </c>
      <c r="B34" s="557"/>
      <c r="C34" s="555"/>
      <c r="D34" s="745"/>
      <c r="E34" s="556"/>
      <c r="F34" s="556"/>
      <c r="G34" s="558"/>
      <c r="H34" s="670"/>
      <c r="I34" s="559"/>
      <c r="J34" s="560"/>
      <c r="K34" s="560"/>
      <c r="L34" s="561"/>
      <c r="M34" s="561"/>
      <c r="N34" s="560"/>
      <c r="O34" s="562"/>
      <c r="P34" s="563"/>
      <c r="Q34" s="684"/>
      <c r="R34" s="759"/>
      <c r="S34" s="760"/>
      <c r="T34" s="760"/>
      <c r="U34" s="761"/>
      <c r="V34" s="394"/>
      <c r="W34" s="410"/>
      <c r="X34" s="412"/>
      <c r="Y34" s="390"/>
      <c r="Z34" s="388"/>
      <c r="AA34" s="666"/>
      <c r="AB34" s="588"/>
      <c r="AC34" s="588"/>
      <c r="AD34" s="614"/>
      <c r="AE34" s="408"/>
      <c r="AF34" s="410"/>
      <c r="AG34" s="410"/>
      <c r="AH34" s="395"/>
      <c r="AI34" s="404"/>
      <c r="AJ34" s="564"/>
      <c r="AK34" s="565"/>
      <c r="AL34" s="565"/>
      <c r="AM34" s="566"/>
      <c r="AN34" s="680"/>
    </row>
    <row r="35" spans="1:40" s="567" customFormat="1" ht="27" customHeight="1">
      <c r="A35" s="616">
        <v>8</v>
      </c>
      <c r="B35" s="732">
        <v>45536</v>
      </c>
      <c r="C35" s="617">
        <v>120000069054</v>
      </c>
      <c r="D35" s="739" t="s">
        <v>231</v>
      </c>
      <c r="E35" s="618" t="s">
        <v>130</v>
      </c>
      <c r="F35" s="618" t="s">
        <v>45</v>
      </c>
      <c r="G35" s="619"/>
      <c r="H35" s="733" t="s">
        <v>215</v>
      </c>
      <c r="I35" s="622">
        <v>45658</v>
      </c>
      <c r="J35" s="620">
        <v>1000</v>
      </c>
      <c r="K35" s="620">
        <v>0</v>
      </c>
      <c r="L35" s="590" t="s">
        <v>187</v>
      </c>
      <c r="M35" s="591">
        <f>IF(Table1351452010[[#This Row],[หัก ณ ที่จ่าย
(ค่าบริการ)]]="มี",Table1351452010[[#This Row],[ค่าบริการเฉลี่ยต่อเดือน]]*3%,0)</f>
        <v>0</v>
      </c>
      <c r="N35" s="534">
        <f>Table1351452010[[#This Row],[ค่าบริการเฉลี่ยต่อเดือน]]-Table1351452010[[#This Row],[มูลค่าหัก 3%]]</f>
        <v>1000</v>
      </c>
      <c r="O35" s="535">
        <f>Table1351452010[[#This Row],[ค่าบริการเฉลียรายเดือนตาม Package
(เรียกเก็บสุทธิ)]]</f>
        <v>1000</v>
      </c>
      <c r="P35" s="735"/>
      <c r="Q35" s="737">
        <f>Table1351452010[[#This Row],[Total
รายการเบิก
คอมขาย
(1)]]</f>
        <v>1000</v>
      </c>
      <c r="R35" s="752"/>
      <c r="S35" s="738"/>
      <c r="T35" s="738"/>
      <c r="U35" s="762"/>
      <c r="V35" s="621">
        <v>0</v>
      </c>
      <c r="W35" s="593"/>
      <c r="X35" s="594">
        <f>IF(Table1351452010[[#This Row],[หัก ณ ที่จ่าย
(ค่าติตั้ง)]]="มี",Table1351452010[[#This Row],[ค่าเชื่อมสัญญาณ/
ค่าติดตั้ง/
ค่าขายอุปกรณ์]]*$X$3,0)</f>
        <v>0</v>
      </c>
      <c r="Y35" s="396">
        <f>Table1351452010[[#This Row],[ค่าเชื่อมสัญญาณ/
ค่าติดตั้ง/
ค่าขายอุปกรณ์]]-Table1351452010[[#This Row],[มูลค่าหัก 3%
(ค่าติดตั้ง)]]</f>
        <v>0</v>
      </c>
      <c r="Z35" s="331"/>
      <c r="AA35" s="664">
        <f>Table1351452010[[#This Row],[ค่าเชื่อมสัญญาณ/
ค่าติดตั้ง/
ค่าขายอุปกรณ์
(เรียกเก็บสุทธิ)]]-Table1351452010[[#This Row],[ต้นทุน]]</f>
        <v>0</v>
      </c>
      <c r="AB35" s="536" t="str">
        <f>IF(Table1351452010[[#This Row],[ส่วนต่างกำไร]]&lt;(Table1351452010[[#This Row],[ต้นทุน]]*5%),Table1351452010[[#This Row],[ค่าเชื่อมสัญญาณ/
ค่าติดตั้ง/
ค่าขายอุปกรณ์
(เรียกเก็บสุทธิ)]]*$AB$3,"0")</f>
        <v>0</v>
      </c>
      <c r="AC35" s="536">
        <f>IF(Table1351452010[[#This Row],[ส่วนต่างกำไร]]&gt;=(Table1351452010[[#This Row],[ต้นทุน]]*5%),Table1351452010[[#This Row],[ค่าเชื่อมสัญญาณ/
ค่าติดตั้ง/
ค่าขายอุปกรณ์
(เรียกเก็บสุทธิ)]]*$AC$3,"0")</f>
        <v>0</v>
      </c>
      <c r="AD35" s="611">
        <f>SUM(Table1351452010[[#This Row],[คอมฯ
 5%]:[คอมฯ
10%]])</f>
        <v>0</v>
      </c>
      <c r="AE35" s="623"/>
      <c r="AF35" s="593"/>
      <c r="AG35" s="615">
        <f>IF(Table1351452010[[#This Row],[หัก ณ ที่จ่าย
(ค่าเชื่อมสัญญาณ)]]="มี",Table1351452010[[#This Row],[ค่าเชื่อมสัญญาณ]]*$AG$3,0)</f>
        <v>0</v>
      </c>
      <c r="AH35" s="397">
        <f>Table1351452010[[#This Row],[ค่าเชื่อมสัญญาณ]]-Table1351452010[[#This Row],[มูลค่าหัก 3%
(ค่าเชื่อมสัญญาณ)]]</f>
        <v>0</v>
      </c>
      <c r="AI35" s="402">
        <f>Table1351452010[[#This Row],[ค่าเชื่อมสัญญาณ
(เรียกเก็บสุทธิ)]]*$AI$4</f>
        <v>0</v>
      </c>
      <c r="AJ35" s="537">
        <f>Table1351452010[[#This Row],[ปีที่1
(ทำจ่ายรอบ 3/2025)]]+Table1351452010[[#This Row],[Total
ค่าเชื่มสัญญาณ/ค่าติดตั้ง/
ค่าขายอุปกรณ์
(2)]]+Table1351452010[[#This Row],[Total 
คอมฯค่าเชื่อมสัญญาณ
(3)]]</f>
        <v>1000</v>
      </c>
      <c r="AK35" s="538" t="s">
        <v>232</v>
      </c>
      <c r="AL35" s="538" t="s">
        <v>273</v>
      </c>
      <c r="AM35" s="539" t="s">
        <v>233</v>
      </c>
      <c r="AN35" s="507" t="s">
        <v>243</v>
      </c>
    </row>
    <row r="36" spans="1:40" s="567" customFormat="1" ht="27" customHeight="1">
      <c r="A36" s="720" t="s">
        <v>217</v>
      </c>
      <c r="B36" s="677"/>
      <c r="C36" s="541"/>
      <c r="D36" s="740" t="s">
        <v>230</v>
      </c>
      <c r="E36" s="542"/>
      <c r="F36" s="542"/>
      <c r="G36" s="568"/>
      <c r="H36" s="669"/>
      <c r="I36" s="544"/>
      <c r="J36" s="542"/>
      <c r="K36" s="542"/>
      <c r="L36" s="545"/>
      <c r="M36" s="545"/>
      <c r="N36" s="546"/>
      <c r="O36" s="547"/>
      <c r="P36" s="548"/>
      <c r="Q36" s="682"/>
      <c r="R36" s="753"/>
      <c r="S36" s="754"/>
      <c r="T36" s="754"/>
      <c r="U36" s="755"/>
      <c r="V36" s="391"/>
      <c r="W36" s="409"/>
      <c r="X36" s="411"/>
      <c r="Y36" s="389"/>
      <c r="Z36" s="392"/>
      <c r="AA36" s="665" t="e">
        <f t="shared" ref="AA36" si="7">AA35/Z35</f>
        <v>#DIV/0!</v>
      </c>
      <c r="AB36" s="587"/>
      <c r="AC36" s="587"/>
      <c r="AD36" s="612"/>
      <c r="AE36" s="406"/>
      <c r="AF36" s="409"/>
      <c r="AG36" s="409"/>
      <c r="AH36" s="393"/>
      <c r="AI36" s="403"/>
      <c r="AJ36" s="549"/>
      <c r="AK36" s="550"/>
      <c r="AL36" s="550"/>
      <c r="AM36" s="551"/>
      <c r="AN36" s="507"/>
    </row>
    <row r="37" spans="1:40" s="567" customFormat="1" ht="32.4" customHeight="1">
      <c r="A37" s="540">
        <v>14.228571428571501</v>
      </c>
      <c r="B37" s="543"/>
      <c r="C37" s="540"/>
      <c r="D37" s="743"/>
      <c r="E37" s="552"/>
      <c r="F37" s="552"/>
      <c r="G37" s="568"/>
      <c r="H37" s="669"/>
      <c r="I37" s="544"/>
      <c r="J37" s="542"/>
      <c r="K37" s="542"/>
      <c r="L37" s="545"/>
      <c r="M37" s="545"/>
      <c r="N37" s="542"/>
      <c r="O37" s="553"/>
      <c r="P37" s="554"/>
      <c r="Q37" s="683"/>
      <c r="R37" s="756"/>
      <c r="S37" s="757"/>
      <c r="T37" s="757"/>
      <c r="U37" s="758"/>
      <c r="V37" s="391"/>
      <c r="W37" s="409"/>
      <c r="X37" s="411"/>
      <c r="Y37" s="389"/>
      <c r="Z37" s="392"/>
      <c r="AA37" s="392"/>
      <c r="AB37" s="587"/>
      <c r="AC37" s="587"/>
      <c r="AD37" s="613"/>
      <c r="AE37" s="407"/>
      <c r="AF37" s="409"/>
      <c r="AG37" s="409"/>
      <c r="AH37" s="393"/>
      <c r="AI37" s="403"/>
      <c r="AJ37" s="549"/>
      <c r="AK37" s="550"/>
      <c r="AL37" s="550"/>
      <c r="AM37" s="551"/>
      <c r="AN37" s="507"/>
    </row>
    <row r="38" spans="1:40" s="567" customFormat="1" ht="27" customHeight="1" thickBot="1">
      <c r="A38" s="555">
        <v>15.435714285714299</v>
      </c>
      <c r="B38" s="557"/>
      <c r="C38" s="555"/>
      <c r="D38" s="742"/>
      <c r="E38" s="556"/>
      <c r="F38" s="556"/>
      <c r="G38" s="558"/>
      <c r="H38" s="670"/>
      <c r="I38" s="559"/>
      <c r="J38" s="560"/>
      <c r="K38" s="560"/>
      <c r="L38" s="561"/>
      <c r="M38" s="561"/>
      <c r="N38" s="560"/>
      <c r="O38" s="562"/>
      <c r="P38" s="563"/>
      <c r="Q38" s="684"/>
      <c r="R38" s="759"/>
      <c r="S38" s="760"/>
      <c r="T38" s="760"/>
      <c r="U38" s="761"/>
      <c r="V38" s="394"/>
      <c r="W38" s="410"/>
      <c r="X38" s="412"/>
      <c r="Y38" s="390"/>
      <c r="Z38" s="388"/>
      <c r="AA38" s="666"/>
      <c r="AB38" s="588"/>
      <c r="AC38" s="588"/>
      <c r="AD38" s="614"/>
      <c r="AE38" s="408"/>
      <c r="AF38" s="410"/>
      <c r="AG38" s="410"/>
      <c r="AH38" s="395"/>
      <c r="AI38" s="404"/>
      <c r="AJ38" s="564"/>
      <c r="AK38" s="565"/>
      <c r="AL38" s="565"/>
      <c r="AM38" s="566"/>
      <c r="AN38" s="680"/>
    </row>
    <row r="39" spans="1:40" s="567" customFormat="1" ht="27" customHeight="1">
      <c r="A39" s="616">
        <v>9</v>
      </c>
      <c r="B39" s="732">
        <v>45536</v>
      </c>
      <c r="C39" s="617">
        <v>120000057488</v>
      </c>
      <c r="D39" s="739" t="s">
        <v>275</v>
      </c>
      <c r="E39" s="618" t="s">
        <v>74</v>
      </c>
      <c r="F39" s="618" t="s">
        <v>45</v>
      </c>
      <c r="G39" s="619"/>
      <c r="H39" s="733" t="s">
        <v>215</v>
      </c>
      <c r="I39" s="622">
        <v>45505</v>
      </c>
      <c r="J39" s="620">
        <v>5000</v>
      </c>
      <c r="K39" s="620">
        <v>0</v>
      </c>
      <c r="L39" s="590" t="s">
        <v>186</v>
      </c>
      <c r="M39" s="591">
        <f>IF(Table1351452010[[#This Row],[หัก ณ ที่จ่าย
(ค่าบริการ)]]="มี",Table1351452010[[#This Row],[ค่าบริการเฉลี่ยต่อเดือน]]*3%,0)</f>
        <v>150</v>
      </c>
      <c r="N39" s="534">
        <f>Table1351452010[[#This Row],[ค่าบริการเฉลี่ยต่อเดือน]]-Table1351452010[[#This Row],[มูลค่าหัก 3%]]</f>
        <v>4850</v>
      </c>
      <c r="O39" s="535">
        <f>Table1351452010[[#This Row],[ค่าบริการเฉลียรายเดือนตาม Package
(เรียกเก็บสุทธิ)]]</f>
        <v>4850</v>
      </c>
      <c r="P39" s="735"/>
      <c r="Q39" s="737">
        <f>Table1351452010[[#This Row],[Total
รายการเบิก
คอมขาย
(1)]]</f>
        <v>4850</v>
      </c>
      <c r="R39" s="752"/>
      <c r="S39" s="738"/>
      <c r="T39" s="738"/>
      <c r="U39" s="762"/>
      <c r="V39" s="621">
        <v>0</v>
      </c>
      <c r="W39" s="593"/>
      <c r="X39" s="594">
        <f>IF(Table1351452010[[#This Row],[หัก ณ ที่จ่าย
(ค่าติตั้ง)]]="มี",Table1351452010[[#This Row],[ค่าเชื่อมสัญญาณ/
ค่าติดตั้ง/
ค่าขายอุปกรณ์]]*$X$3,0)</f>
        <v>0</v>
      </c>
      <c r="Y39" s="396">
        <f>Table1351452010[[#This Row],[ค่าเชื่อมสัญญาณ/
ค่าติดตั้ง/
ค่าขายอุปกรณ์]]-Table1351452010[[#This Row],[มูลค่าหัก 3%
(ค่าติดตั้ง)]]</f>
        <v>0</v>
      </c>
      <c r="Z39" s="331"/>
      <c r="AA39" s="664">
        <f>Table1351452010[[#This Row],[ค่าเชื่อมสัญญาณ/
ค่าติดตั้ง/
ค่าขายอุปกรณ์
(เรียกเก็บสุทธิ)]]-Table1351452010[[#This Row],[ต้นทุน]]</f>
        <v>0</v>
      </c>
      <c r="AB39" s="536" t="str">
        <f>IF(Table1351452010[[#This Row],[ส่วนต่างกำไร]]&lt;(Table1351452010[[#This Row],[ต้นทุน]]*5%),Table1351452010[[#This Row],[ค่าเชื่อมสัญญาณ/
ค่าติดตั้ง/
ค่าขายอุปกรณ์
(เรียกเก็บสุทธิ)]]*$AB$3,"0")</f>
        <v>0</v>
      </c>
      <c r="AC39" s="536">
        <f>IF(Table1351452010[[#This Row],[ส่วนต่างกำไร]]&gt;=(Table1351452010[[#This Row],[ต้นทุน]]*5%),Table1351452010[[#This Row],[ค่าเชื่อมสัญญาณ/
ค่าติดตั้ง/
ค่าขายอุปกรณ์
(เรียกเก็บสุทธิ)]]*$AC$3,"0")</f>
        <v>0</v>
      </c>
      <c r="AD39" s="611">
        <f>SUM(Table1351452010[[#This Row],[คอมฯ
 5%]:[คอมฯ
10%]])</f>
        <v>0</v>
      </c>
      <c r="AE39" s="623"/>
      <c r="AF39" s="593"/>
      <c r="AG39" s="615">
        <f>IF(Table1351452010[[#This Row],[หัก ณ ที่จ่าย
(ค่าเชื่อมสัญญาณ)]]="มี",Table1351452010[[#This Row],[ค่าเชื่อมสัญญาณ]]*$AG$3,0)</f>
        <v>0</v>
      </c>
      <c r="AH39" s="397">
        <f>Table1351452010[[#This Row],[ค่าเชื่อมสัญญาณ]]-Table1351452010[[#This Row],[มูลค่าหัก 3%
(ค่าเชื่อมสัญญาณ)]]</f>
        <v>0</v>
      </c>
      <c r="AI39" s="402">
        <f>Table1351452010[[#This Row],[ค่าเชื่อมสัญญาณ
(เรียกเก็บสุทธิ)]]*$AI$4</f>
        <v>0</v>
      </c>
      <c r="AJ39" s="537">
        <f>Table1351452010[[#This Row],[ปีที่1
(ทำจ่ายรอบ 3/2025)]]+Table1351452010[[#This Row],[Total
ค่าเชื่มสัญญาณ/ค่าติดตั้ง/
ค่าขายอุปกรณ์
(2)]]+Table1351452010[[#This Row],[Total 
คอมฯค่าเชื่อมสัญญาณ
(3)]]</f>
        <v>4850</v>
      </c>
      <c r="AK39" s="538" t="s">
        <v>278</v>
      </c>
      <c r="AL39" s="538" t="s">
        <v>277</v>
      </c>
      <c r="AM39" s="539" t="s">
        <v>208</v>
      </c>
      <c r="AN39" s="507" t="s">
        <v>243</v>
      </c>
    </row>
    <row r="40" spans="1:40" s="567" customFormat="1" ht="27" customHeight="1">
      <c r="A40" s="720" t="s">
        <v>217</v>
      </c>
      <c r="B40" s="543"/>
      <c r="C40" s="541"/>
      <c r="D40" s="740" t="s">
        <v>276</v>
      </c>
      <c r="E40" s="542"/>
      <c r="F40" s="542"/>
      <c r="G40" s="568"/>
      <c r="H40" s="669"/>
      <c r="I40" s="544"/>
      <c r="J40" s="542"/>
      <c r="K40" s="542"/>
      <c r="L40" s="545"/>
      <c r="M40" s="545"/>
      <c r="N40" s="546"/>
      <c r="O40" s="547"/>
      <c r="P40" s="548"/>
      <c r="Q40" s="682"/>
      <c r="R40" s="753"/>
      <c r="S40" s="754"/>
      <c r="T40" s="754"/>
      <c r="U40" s="755"/>
      <c r="V40" s="391"/>
      <c r="W40" s="409"/>
      <c r="X40" s="411"/>
      <c r="Y40" s="389"/>
      <c r="Z40" s="392"/>
      <c r="AA40" s="665" t="e">
        <f t="shared" ref="AA40" si="8">AA39/Z39</f>
        <v>#DIV/0!</v>
      </c>
      <c r="AB40" s="587"/>
      <c r="AC40" s="587"/>
      <c r="AD40" s="612"/>
      <c r="AE40" s="406"/>
      <c r="AF40" s="409"/>
      <c r="AG40" s="409"/>
      <c r="AH40" s="393"/>
      <c r="AI40" s="403"/>
      <c r="AJ40" s="549"/>
      <c r="AK40" s="550"/>
      <c r="AL40" s="550"/>
      <c r="AM40" s="551"/>
      <c r="AN40" s="507"/>
    </row>
    <row r="41" spans="1:40" s="567" customFormat="1" ht="27" customHeight="1">
      <c r="A41" s="540">
        <v>23.8857142857143</v>
      </c>
      <c r="B41" s="543"/>
      <c r="C41" s="540"/>
      <c r="D41" s="744"/>
      <c r="E41" s="552"/>
      <c r="F41" s="552"/>
      <c r="G41" s="568"/>
      <c r="H41" s="669"/>
      <c r="I41" s="544"/>
      <c r="J41" s="542"/>
      <c r="K41" s="542"/>
      <c r="L41" s="545"/>
      <c r="M41" s="545"/>
      <c r="N41" s="542"/>
      <c r="O41" s="553"/>
      <c r="P41" s="554"/>
      <c r="Q41" s="683"/>
      <c r="R41" s="756"/>
      <c r="S41" s="757"/>
      <c r="T41" s="757"/>
      <c r="U41" s="758"/>
      <c r="V41" s="391"/>
      <c r="W41" s="409"/>
      <c r="X41" s="411"/>
      <c r="Y41" s="389"/>
      <c r="Z41" s="392"/>
      <c r="AA41" s="392"/>
      <c r="AB41" s="587"/>
      <c r="AC41" s="587"/>
      <c r="AD41" s="613"/>
      <c r="AE41" s="407"/>
      <c r="AF41" s="409"/>
      <c r="AG41" s="409"/>
      <c r="AH41" s="393"/>
      <c r="AI41" s="403"/>
      <c r="AJ41" s="549"/>
      <c r="AK41" s="550"/>
      <c r="AL41" s="550"/>
      <c r="AM41" s="551"/>
      <c r="AN41" s="507"/>
    </row>
    <row r="42" spans="1:40" s="567" customFormat="1" ht="27" customHeight="1" thickBot="1">
      <c r="A42" s="555">
        <v>25.092857142857198</v>
      </c>
      <c r="B42" s="557"/>
      <c r="C42" s="555"/>
      <c r="D42" s="745"/>
      <c r="E42" s="556"/>
      <c r="F42" s="556"/>
      <c r="G42" s="558"/>
      <c r="H42" s="670"/>
      <c r="I42" s="559"/>
      <c r="J42" s="560"/>
      <c r="K42" s="560"/>
      <c r="L42" s="561"/>
      <c r="M42" s="561"/>
      <c r="N42" s="560"/>
      <c r="O42" s="562"/>
      <c r="P42" s="563"/>
      <c r="Q42" s="684"/>
      <c r="R42" s="759"/>
      <c r="S42" s="760"/>
      <c r="T42" s="760"/>
      <c r="U42" s="761"/>
      <c r="V42" s="394"/>
      <c r="W42" s="410"/>
      <c r="X42" s="412"/>
      <c r="Y42" s="390"/>
      <c r="Z42" s="388"/>
      <c r="AA42" s="666"/>
      <c r="AB42" s="588"/>
      <c r="AC42" s="588"/>
      <c r="AD42" s="614"/>
      <c r="AE42" s="408"/>
      <c r="AF42" s="410"/>
      <c r="AG42" s="410"/>
      <c r="AH42" s="395"/>
      <c r="AI42" s="404"/>
      <c r="AJ42" s="564"/>
      <c r="AK42" s="565"/>
      <c r="AL42" s="565"/>
      <c r="AM42" s="566"/>
      <c r="AN42" s="680"/>
    </row>
    <row r="43" spans="1:40" s="567" customFormat="1" ht="27" customHeight="1">
      <c r="A43" s="616">
        <v>10</v>
      </c>
      <c r="B43" s="732">
        <v>45536</v>
      </c>
      <c r="C43" s="617">
        <v>120000069052</v>
      </c>
      <c r="D43" s="739" t="s">
        <v>282</v>
      </c>
      <c r="E43" s="618" t="s">
        <v>70</v>
      </c>
      <c r="F43" s="618" t="s">
        <v>45</v>
      </c>
      <c r="G43" s="619"/>
      <c r="H43" s="733" t="s">
        <v>215</v>
      </c>
      <c r="I43" s="622">
        <v>45689</v>
      </c>
      <c r="J43" s="620">
        <v>46440</v>
      </c>
      <c r="K43" s="620">
        <v>0</v>
      </c>
      <c r="L43" s="590" t="s">
        <v>186</v>
      </c>
      <c r="M43" s="591">
        <f>IF(Table1351452010[[#This Row],[หัก ณ ที่จ่าย
(ค่าบริการ)]]="มี",Table1351452010[[#This Row],[ค่าบริการเฉลี่ยต่อเดือน]]*3%,0)</f>
        <v>1393.2</v>
      </c>
      <c r="N43" s="534">
        <f>Table1351452010[[#This Row],[ค่าบริการเฉลี่ยต่อเดือน]]-Table1351452010[[#This Row],[มูลค่าหัก 3%]]</f>
        <v>45046.8</v>
      </c>
      <c r="O43" s="535">
        <f>Table1351452010[[#This Row],[ค่าบริการเฉลียรายเดือนตาม Package
(เรียกเก็บสุทธิ)]]</f>
        <v>45046.8</v>
      </c>
      <c r="P43" s="735"/>
      <c r="Q43" s="737">
        <f>Table1351452010[[#This Row],[Total
รายการเบิก
คอมขาย
(1)]]</f>
        <v>45046.8</v>
      </c>
      <c r="R43" s="752"/>
      <c r="S43" s="738"/>
      <c r="T43" s="738"/>
      <c r="U43" s="762"/>
      <c r="V43" s="621">
        <v>15000</v>
      </c>
      <c r="W43" s="772" t="s">
        <v>186</v>
      </c>
      <c r="X43" s="774">
        <f>IF(Table1351452010[[#This Row],[หัก ณ ที่จ่าย
(ค่าติตั้ง)]]="มี",Table1351452010[[#This Row],[ค่าเชื่อมสัญญาณ/
ค่าติดตั้ง/
ค่าขายอุปกรณ์]]*$X$3,0)</f>
        <v>450</v>
      </c>
      <c r="Y43" s="776">
        <f>Table1351452010[[#This Row],[ค่าเชื่อมสัญญาณ/
ค่าติดตั้ง/
ค่าขายอุปกรณ์]]-Table1351452010[[#This Row],[มูลค่าหัก 3%
(ค่าติดตั้ง)]]</f>
        <v>14550</v>
      </c>
      <c r="Z43" s="331">
        <v>80706.5</v>
      </c>
      <c r="AA43" s="664">
        <f>(Table1351452010[[#This Row],[ค่าเชื่อมสัญญาณ/
ค่าติดตั้ง/
ค่าขายอุปกรณ์
(เรียกเก็บสุทธิ)]]+Y44)-Table1351452010[[#This Row],[ต้นทุน]]</f>
        <v>-45656.5</v>
      </c>
      <c r="AB43" s="536">
        <f>IF(Table1351452010[[#This Row],[ส่วนต่างกำไร]]&lt;(Table1351452010[[#This Row],[ต้นทุน]]*5%),Y45*$AB$3,"0")</f>
        <v>1752.5</v>
      </c>
      <c r="AC43" s="536" t="str">
        <f>IF(Table1351452010[[#This Row],[ส่วนต่างกำไร]]&gt;=(Table1351452010[[#This Row],[ต้นทุน]]*5%),Table1351452010[[#This Row],[ค่าเชื่อมสัญญาณ/
ค่าติดตั้ง/
ค่าขายอุปกรณ์
(เรียกเก็บสุทธิ)]]*$AC$3,"0")</f>
        <v>0</v>
      </c>
      <c r="AD43" s="611">
        <f>SUM(Table1351452010[[#This Row],[คอมฯ
 5%]:[คอมฯ
10%]])</f>
        <v>1752.5</v>
      </c>
      <c r="AE43" s="623"/>
      <c r="AF43" s="593"/>
      <c r="AG43" s="615">
        <f>IF(Table1351452010[[#This Row],[หัก ณ ที่จ่าย
(ค่าเชื่อมสัญญาณ)]]="มี",Table1351452010[[#This Row],[ค่าเชื่อมสัญญาณ]]*$AG$3,0)</f>
        <v>0</v>
      </c>
      <c r="AH43" s="397">
        <f>Table1351452010[[#This Row],[ค่าเชื่อมสัญญาณ]]-Table1351452010[[#This Row],[มูลค่าหัก 3%
(ค่าเชื่อมสัญญาณ)]]</f>
        <v>0</v>
      </c>
      <c r="AI43" s="402">
        <f>Table1351452010[[#This Row],[ค่าเชื่อมสัญญาณ
(เรียกเก็บสุทธิ)]]*$AI$4</f>
        <v>0</v>
      </c>
      <c r="AJ43" s="537">
        <f>Table1351452010[[#This Row],[ปีที่1
(ทำจ่ายรอบ 3/2025)]]+Table1351452010[[#This Row],[Total
ค่าเชื่มสัญญาณ/ค่าติดตั้ง/
ค่าขายอุปกรณ์
(2)]]+Table1351452010[[#This Row],[Total 
คอมฯค่าเชื่อมสัญญาณ
(3)]]</f>
        <v>46799.3</v>
      </c>
      <c r="AK43" s="538" t="s">
        <v>280</v>
      </c>
      <c r="AL43" s="538" t="s">
        <v>279</v>
      </c>
      <c r="AM43" s="539" t="s">
        <v>281</v>
      </c>
      <c r="AN43" s="507" t="s">
        <v>243</v>
      </c>
    </row>
    <row r="44" spans="1:40" s="567" customFormat="1" ht="27" customHeight="1">
      <c r="A44" s="720" t="s">
        <v>217</v>
      </c>
      <c r="B44" s="543"/>
      <c r="C44" s="541"/>
      <c r="D44" s="740" t="s">
        <v>283</v>
      </c>
      <c r="E44" s="542"/>
      <c r="F44" s="542"/>
      <c r="G44" s="568"/>
      <c r="H44" s="669"/>
      <c r="I44" s="544"/>
      <c r="J44" s="542"/>
      <c r="K44" s="542"/>
      <c r="L44" s="545"/>
      <c r="M44" s="545"/>
      <c r="N44" s="546"/>
      <c r="O44" s="547"/>
      <c r="P44" s="548"/>
      <c r="Q44" s="682"/>
      <c r="R44" s="753"/>
      <c r="S44" s="754"/>
      <c r="T44" s="754"/>
      <c r="U44" s="755"/>
      <c r="V44" s="391">
        <v>20500</v>
      </c>
      <c r="W44" s="773" t="s">
        <v>187</v>
      </c>
      <c r="X44" s="775">
        <f>IF(Table1351452010[[#This Row],[หัก ณ ที่จ่าย
(ค่าติตั้ง)]]="มี",Table1351452010[[#This Row],[ค่าเชื่อมสัญญาณ/
ค่าติดตั้ง/
ค่าขายอุปกรณ์]]*$X$3,0)</f>
        <v>0</v>
      </c>
      <c r="Y44" s="777">
        <f>Table1351452010[[#This Row],[ค่าเชื่อมสัญญาณ/
ค่าติดตั้ง/
ค่าขายอุปกรณ์]]-Table1351452010[[#This Row],[มูลค่าหัก 3%
(ค่าติดตั้ง)]]</f>
        <v>20500</v>
      </c>
      <c r="Z44" s="392"/>
      <c r="AA44" s="665">
        <f t="shared" ref="AA44" si="9">AA43/Z43</f>
        <v>-0.56571032073005267</v>
      </c>
      <c r="AB44" s="587"/>
      <c r="AC44" s="587"/>
      <c r="AD44" s="612"/>
      <c r="AE44" s="406"/>
      <c r="AF44" s="409"/>
      <c r="AG44" s="409"/>
      <c r="AH44" s="393"/>
      <c r="AI44" s="403"/>
      <c r="AJ44" s="549"/>
      <c r="AK44" s="550"/>
      <c r="AL44" s="550"/>
      <c r="AM44" s="551"/>
      <c r="AN44" s="507"/>
    </row>
    <row r="45" spans="1:40" s="567" customFormat="1" ht="27" customHeight="1">
      <c r="A45" s="540">
        <v>23.8857142857143</v>
      </c>
      <c r="B45" s="543"/>
      <c r="C45" s="540"/>
      <c r="D45" s="744"/>
      <c r="E45" s="552"/>
      <c r="F45" s="552"/>
      <c r="G45" s="568"/>
      <c r="H45" s="669"/>
      <c r="I45" s="544"/>
      <c r="J45" s="542"/>
      <c r="K45" s="542"/>
      <c r="L45" s="545"/>
      <c r="M45" s="545"/>
      <c r="N45" s="542"/>
      <c r="O45" s="553"/>
      <c r="P45" s="554"/>
      <c r="Q45" s="683"/>
      <c r="R45" s="756"/>
      <c r="S45" s="757"/>
      <c r="T45" s="757"/>
      <c r="U45" s="758"/>
      <c r="V45" s="391"/>
      <c r="W45" s="409"/>
      <c r="X45" s="411"/>
      <c r="Y45" s="778">
        <f>Y43+Y44</f>
        <v>35050</v>
      </c>
      <c r="Z45" s="392"/>
      <c r="AA45" s="392"/>
      <c r="AB45" s="587"/>
      <c r="AC45" s="587"/>
      <c r="AD45" s="613"/>
      <c r="AE45" s="407"/>
      <c r="AF45" s="409"/>
      <c r="AG45" s="409"/>
      <c r="AH45" s="393"/>
      <c r="AI45" s="403"/>
      <c r="AJ45" s="549"/>
      <c r="AK45" s="550"/>
      <c r="AL45" s="550"/>
      <c r="AM45" s="551"/>
      <c r="AN45" s="507"/>
    </row>
    <row r="46" spans="1:40" s="567" customFormat="1" ht="27" customHeight="1" thickBot="1">
      <c r="A46" s="555">
        <v>25.092857142857198</v>
      </c>
      <c r="B46" s="557"/>
      <c r="C46" s="555"/>
      <c r="D46" s="745"/>
      <c r="E46" s="556"/>
      <c r="F46" s="556"/>
      <c r="G46" s="558"/>
      <c r="H46" s="670"/>
      <c r="I46" s="559"/>
      <c r="J46" s="560"/>
      <c r="K46" s="560"/>
      <c r="L46" s="561"/>
      <c r="M46" s="561"/>
      <c r="N46" s="560"/>
      <c r="O46" s="562"/>
      <c r="P46" s="563"/>
      <c r="Q46" s="684"/>
      <c r="R46" s="759"/>
      <c r="S46" s="760"/>
      <c r="T46" s="760"/>
      <c r="U46" s="761"/>
      <c r="V46" s="394"/>
      <c r="W46" s="410"/>
      <c r="X46" s="412"/>
      <c r="Y46" s="390"/>
      <c r="Z46" s="388"/>
      <c r="AA46" s="666"/>
      <c r="AB46" s="588"/>
      <c r="AC46" s="588"/>
      <c r="AD46" s="614"/>
      <c r="AE46" s="408"/>
      <c r="AF46" s="410"/>
      <c r="AG46" s="410"/>
      <c r="AH46" s="395"/>
      <c r="AI46" s="404"/>
      <c r="AJ46" s="564"/>
      <c r="AK46" s="565"/>
      <c r="AL46" s="565"/>
      <c r="AM46" s="566"/>
      <c r="AN46" s="680"/>
    </row>
    <row r="47" spans="1:40" s="567" customFormat="1" ht="27" customHeight="1">
      <c r="A47" s="616">
        <v>11</v>
      </c>
      <c r="B47" s="732">
        <v>45474</v>
      </c>
      <c r="C47" s="617">
        <v>120000058331</v>
      </c>
      <c r="D47" s="739" t="s">
        <v>234</v>
      </c>
      <c r="E47" s="618" t="s">
        <v>72</v>
      </c>
      <c r="F47" s="618" t="s">
        <v>155</v>
      </c>
      <c r="G47" s="619"/>
      <c r="H47" s="733" t="s">
        <v>215</v>
      </c>
      <c r="I47" s="622" t="s">
        <v>235</v>
      </c>
      <c r="J47" s="620">
        <v>0</v>
      </c>
      <c r="K47" s="620">
        <v>0</v>
      </c>
      <c r="L47" s="590"/>
      <c r="M47" s="591">
        <f>IF(Table1351452010[[#This Row],[หัก ณ ที่จ่าย
(ค่าบริการ)]]="มี",Table1351452010[[#This Row],[ค่าบริการเฉลี่ยต่อเดือน]]*3%,0)</f>
        <v>0</v>
      </c>
      <c r="N47" s="534">
        <f>Table1351452010[[#This Row],[ค่าบริการเฉลี่ยต่อเดือน]]-Table1351452010[[#This Row],[มูลค่าหัก 3%]]</f>
        <v>0</v>
      </c>
      <c r="O47" s="535">
        <f>Table1351452010[[#This Row],[ค่าบริการเฉลียรายเดือนตาม Package
(เรียกเก็บสุทธิ)]]</f>
        <v>0</v>
      </c>
      <c r="P47" s="735"/>
      <c r="Q47" s="736"/>
      <c r="R47" s="752"/>
      <c r="S47" s="738"/>
      <c r="T47" s="738"/>
      <c r="U47" s="762"/>
      <c r="V47" s="621">
        <v>3600</v>
      </c>
      <c r="W47" s="593"/>
      <c r="X47" s="594">
        <f>IF(Table1351452010[[#This Row],[หัก ณ ที่จ่าย
(ค่าติตั้ง)]]="มี",Table1351452010[[#This Row],[ค่าเชื่อมสัญญาณ/
ค่าติดตั้ง/
ค่าขายอุปกรณ์]]*$X$3,0)</f>
        <v>0</v>
      </c>
      <c r="Y47" s="396">
        <f>Table1351452010[[#This Row],[ค่าเชื่อมสัญญาณ/
ค่าติดตั้ง/
ค่าขายอุปกรณ์]]-Table1351452010[[#This Row],[มูลค่าหัก 3%
(ค่าติดตั้ง)]]</f>
        <v>3600</v>
      </c>
      <c r="Z47" s="331">
        <v>110.17</v>
      </c>
      <c r="AA47" s="664">
        <f>Table1351452010[[#This Row],[ค่าเชื่อมสัญญาณ/
ค่าติดตั้ง/
ค่าขายอุปกรณ์
(เรียกเก็บสุทธิ)]]-Table1351452010[[#This Row],[ต้นทุน]]</f>
        <v>3489.83</v>
      </c>
      <c r="AB47" s="536" t="str">
        <f>IF(Table1351452010[[#This Row],[ส่วนต่างกำไร]]&lt;(Table1351452010[[#This Row],[ต้นทุน]]*5%),Table1351452010[[#This Row],[ค่าเชื่อมสัญญาณ/
ค่าติดตั้ง/
ค่าขายอุปกรณ์
(เรียกเก็บสุทธิ)]]*$AB$3,"0")</f>
        <v>0</v>
      </c>
      <c r="AC47" s="536">
        <f>IF(Table1351452010[[#This Row],[ส่วนต่างกำไร]]&gt;=(Table1351452010[[#This Row],[ต้นทุน]]*5%),Table1351452010[[#This Row],[ค่าเชื่อมสัญญาณ/
ค่าติดตั้ง/
ค่าขายอุปกรณ์
(เรียกเก็บสุทธิ)]]*$AC$3,"0")</f>
        <v>360</v>
      </c>
      <c r="AD47" s="611">
        <f>SUM(Table1351452010[[#This Row],[คอมฯ
 5%]:[คอมฯ
10%]])</f>
        <v>360</v>
      </c>
      <c r="AE47" s="623"/>
      <c r="AF47" s="593"/>
      <c r="AG47" s="615">
        <f>IF(Table1351452010[[#This Row],[หัก ณ ที่จ่าย
(ค่าเชื่อมสัญญาณ)]]="มี",Table1351452010[[#This Row],[ค่าเชื่อมสัญญาณ]]*$AG$3,0)</f>
        <v>0</v>
      </c>
      <c r="AH47" s="397">
        <f>Table1351452010[[#This Row],[ค่าเชื่อมสัญญาณ]]-Table1351452010[[#This Row],[มูลค่าหัก 3%
(ค่าเชื่อมสัญญาณ)]]</f>
        <v>0</v>
      </c>
      <c r="AI47" s="402">
        <f>Table1351452010[[#This Row],[ค่าเชื่อมสัญญาณ
(เรียกเก็บสุทธิ)]]*$AI$4</f>
        <v>0</v>
      </c>
      <c r="AJ47" s="537">
        <f>Table1351452010[[#This Row],[ปีที่1
(ทำจ่ายรอบ 3/2025)]]+Table1351452010[[#This Row],[Total
ค่าเชื่มสัญญาณ/ค่าติดตั้ง/
ค่าขายอุปกรณ์
(2)]]+Table1351452010[[#This Row],[Total 
คอมฯค่าเชื่อมสัญญาณ
(3)]]</f>
        <v>360</v>
      </c>
      <c r="AK47" s="538" t="s">
        <v>238</v>
      </c>
      <c r="AL47" s="538" t="s">
        <v>274</v>
      </c>
      <c r="AM47" s="539" t="s">
        <v>107</v>
      </c>
      <c r="AN47" s="507" t="s">
        <v>243</v>
      </c>
    </row>
    <row r="48" spans="1:40" s="567" customFormat="1" ht="27" customHeight="1">
      <c r="A48" s="720" t="s">
        <v>218</v>
      </c>
      <c r="B48" s="543"/>
      <c r="C48" s="541"/>
      <c r="D48" s="740" t="s">
        <v>229</v>
      </c>
      <c r="E48" s="542"/>
      <c r="F48" s="542"/>
      <c r="G48" s="568"/>
      <c r="H48" s="669"/>
      <c r="I48" s="544"/>
      <c r="J48" s="542"/>
      <c r="K48" s="542"/>
      <c r="L48" s="545"/>
      <c r="M48" s="545"/>
      <c r="N48" s="546"/>
      <c r="O48" s="547"/>
      <c r="P48" s="548"/>
      <c r="Q48" s="682"/>
      <c r="R48" s="753"/>
      <c r="S48" s="754"/>
      <c r="T48" s="754"/>
      <c r="U48" s="755"/>
      <c r="V48" s="391"/>
      <c r="W48" s="409"/>
      <c r="X48" s="411"/>
      <c r="Y48" s="389"/>
      <c r="Z48" s="392"/>
      <c r="AA48" s="665">
        <f t="shared" ref="AA48" si="10">AA47/Z47</f>
        <v>31.676772261051102</v>
      </c>
      <c r="AB48" s="587"/>
      <c r="AC48" s="587"/>
      <c r="AD48" s="612"/>
      <c r="AE48" s="406"/>
      <c r="AF48" s="409"/>
      <c r="AG48" s="409"/>
      <c r="AH48" s="393"/>
      <c r="AI48" s="403"/>
      <c r="AJ48" s="549"/>
      <c r="AK48" s="550"/>
      <c r="AL48" s="550"/>
      <c r="AM48" s="551"/>
      <c r="AN48" s="507"/>
    </row>
    <row r="49" spans="1:40" s="567" customFormat="1" ht="27" customHeight="1">
      <c r="A49" s="540">
        <v>23.8857142857143</v>
      </c>
      <c r="B49" s="543"/>
      <c r="C49" s="540"/>
      <c r="D49" s="744"/>
      <c r="E49" s="552"/>
      <c r="F49" s="552"/>
      <c r="G49" s="568"/>
      <c r="H49" s="669"/>
      <c r="I49" s="544"/>
      <c r="J49" s="542"/>
      <c r="K49" s="542"/>
      <c r="L49" s="545"/>
      <c r="M49" s="545"/>
      <c r="N49" s="542"/>
      <c r="O49" s="553"/>
      <c r="P49" s="554"/>
      <c r="Q49" s="683"/>
      <c r="R49" s="756"/>
      <c r="S49" s="757"/>
      <c r="T49" s="757"/>
      <c r="U49" s="758"/>
      <c r="V49" s="391"/>
      <c r="W49" s="409"/>
      <c r="X49" s="411"/>
      <c r="Y49" s="389"/>
      <c r="Z49" s="392"/>
      <c r="AA49" s="392"/>
      <c r="AB49" s="587"/>
      <c r="AC49" s="587"/>
      <c r="AD49" s="613"/>
      <c r="AE49" s="407"/>
      <c r="AF49" s="409"/>
      <c r="AG49" s="409"/>
      <c r="AH49" s="393"/>
      <c r="AI49" s="403"/>
      <c r="AJ49" s="549"/>
      <c r="AK49" s="550"/>
      <c r="AL49" s="550"/>
      <c r="AM49" s="551"/>
      <c r="AN49" s="507"/>
    </row>
    <row r="50" spans="1:40" s="567" customFormat="1" ht="28.2" customHeight="1" thickBot="1">
      <c r="A50" s="555">
        <v>25.092857142857198</v>
      </c>
      <c r="B50" s="557"/>
      <c r="C50" s="555"/>
      <c r="D50" s="745"/>
      <c r="E50" s="556"/>
      <c r="F50" s="556"/>
      <c r="G50" s="558"/>
      <c r="H50" s="670"/>
      <c r="I50" s="559"/>
      <c r="J50" s="560"/>
      <c r="K50" s="560"/>
      <c r="L50" s="561"/>
      <c r="M50" s="561"/>
      <c r="N50" s="560"/>
      <c r="O50" s="562"/>
      <c r="P50" s="563"/>
      <c r="Q50" s="684"/>
      <c r="R50" s="759"/>
      <c r="S50" s="760"/>
      <c r="T50" s="760"/>
      <c r="U50" s="761"/>
      <c r="V50" s="394"/>
      <c r="W50" s="410"/>
      <c r="X50" s="412"/>
      <c r="Y50" s="390"/>
      <c r="Z50" s="388"/>
      <c r="AA50" s="666"/>
      <c r="AB50" s="588"/>
      <c r="AC50" s="588"/>
      <c r="AD50" s="614"/>
      <c r="AE50" s="408"/>
      <c r="AF50" s="410"/>
      <c r="AG50" s="410"/>
      <c r="AH50" s="395"/>
      <c r="AI50" s="404"/>
      <c r="AJ50" s="564"/>
      <c r="AK50" s="565"/>
      <c r="AL50" s="565"/>
      <c r="AM50" s="566"/>
      <c r="AN50" s="680"/>
    </row>
    <row r="51" spans="1:40" s="567" customFormat="1" ht="27" hidden="1" customHeight="1">
      <c r="A51" s="616"/>
      <c r="B51" s="732"/>
      <c r="C51" s="617"/>
      <c r="D51" s="739"/>
      <c r="E51" s="618"/>
      <c r="F51" s="618"/>
      <c r="G51" s="619"/>
      <c r="H51" s="733"/>
      <c r="I51" s="622"/>
      <c r="J51" s="620"/>
      <c r="K51" s="620"/>
      <c r="L51" s="590"/>
      <c r="M51" s="591">
        <f>IF(Table1351452010[[#This Row],[หัก ณ ที่จ่าย
(ค่าบริการ)]]="มี",Table1351452010[[#This Row],[ค่าบริการเฉลี่ยต่อเดือน]]*3%,0)</f>
        <v>0</v>
      </c>
      <c r="N51" s="534">
        <f>Table1351452010[[#This Row],[ค่าบริการเฉลี่ยต่อเดือน]]-Table1351452010[[#This Row],[มูลค่าหัก 3%]]</f>
        <v>0</v>
      </c>
      <c r="O51" s="535">
        <f>Table1351452010[[#This Row],[ค่าบริการเฉลียรายเดือนตาม Package
(เรียกเก็บสุทธิ)]]</f>
        <v>0</v>
      </c>
      <c r="P51" s="735"/>
      <c r="Q51" s="736"/>
      <c r="R51" s="752"/>
      <c r="S51" s="738"/>
      <c r="T51" s="738"/>
      <c r="U51" s="762"/>
      <c r="V51" s="621">
        <v>0</v>
      </c>
      <c r="W51" s="593"/>
      <c r="X51" s="594">
        <f>IF(Table1351452010[[#This Row],[หัก ณ ที่จ่าย
(ค่าติตั้ง)]]="มี",Table1351452010[[#This Row],[ค่าเชื่อมสัญญาณ/
ค่าติดตั้ง/
ค่าขายอุปกรณ์]]*$X$3,0)</f>
        <v>0</v>
      </c>
      <c r="Y51" s="396">
        <f>Table1351452010[[#This Row],[ค่าเชื่อมสัญญาณ/
ค่าติดตั้ง/
ค่าขายอุปกรณ์]]-Table1351452010[[#This Row],[มูลค่าหัก 3%
(ค่าติดตั้ง)]]</f>
        <v>0</v>
      </c>
      <c r="Z51" s="331"/>
      <c r="AA51" s="664">
        <f>Table1351452010[[#This Row],[ค่าเชื่อมสัญญาณ/
ค่าติดตั้ง/
ค่าขายอุปกรณ์
(เรียกเก็บสุทธิ)]]-Table1351452010[[#This Row],[ต้นทุน]]</f>
        <v>0</v>
      </c>
      <c r="AB51" s="536" t="str">
        <f>IF(Table1351452010[[#This Row],[ส่วนต่างกำไร]]&lt;(Table1351452010[[#This Row],[ต้นทุน]]*5%),Table1351452010[[#This Row],[ค่าเชื่อมสัญญาณ/
ค่าติดตั้ง/
ค่าขายอุปกรณ์
(เรียกเก็บสุทธิ)]]*$AB$3,"0")</f>
        <v>0</v>
      </c>
      <c r="AC51" s="536">
        <f>IF(Table1351452010[[#This Row],[ส่วนต่างกำไร]]&gt;=(Table1351452010[[#This Row],[ต้นทุน]]*5%),Table1351452010[[#This Row],[ค่าเชื่อมสัญญาณ/
ค่าติดตั้ง/
ค่าขายอุปกรณ์
(เรียกเก็บสุทธิ)]]*$AC$3,"0")</f>
        <v>0</v>
      </c>
      <c r="AD51" s="611">
        <f>SUM(Table1351452010[[#This Row],[คอมฯ
 5%]:[คอมฯ
10%]])</f>
        <v>0</v>
      </c>
      <c r="AE51" s="623"/>
      <c r="AF51" s="593"/>
      <c r="AG51" s="615">
        <f>IF(Table1351452010[[#This Row],[หัก ณ ที่จ่าย
(ค่าเชื่อมสัญญาณ)]]="มี",Table1351452010[[#This Row],[ค่าเชื่อมสัญญาณ]]*$AG$3,0)</f>
        <v>0</v>
      </c>
      <c r="AH51" s="397">
        <f>Table1351452010[[#This Row],[ค่าเชื่อมสัญญาณ]]-Table1351452010[[#This Row],[มูลค่าหัก 3%
(ค่าเชื่อมสัญญาณ)]]</f>
        <v>0</v>
      </c>
      <c r="AI51" s="402">
        <f>Table1351452010[[#This Row],[ค่าเชื่อมสัญญาณ
(เรียกเก็บสุทธิ)]]*$AI$4</f>
        <v>0</v>
      </c>
      <c r="AJ51" s="537">
        <f>Table1351452010[[#This Row],[ปีที่1
(ทำจ่ายรอบ 3/2025)]]+Table1351452010[[#This Row],[Total
ค่าเชื่มสัญญาณ/ค่าติดตั้ง/
ค่าขายอุปกรณ์
(2)]]+Table1351452010[[#This Row],[Total 
คอมฯค่าเชื่อมสัญญาณ
(3)]]</f>
        <v>0</v>
      </c>
      <c r="AK51" s="538"/>
      <c r="AL51" s="538"/>
      <c r="AM51" s="539"/>
      <c r="AN51" s="507"/>
    </row>
    <row r="52" spans="1:40" s="567" customFormat="1" ht="27" hidden="1" customHeight="1">
      <c r="A52" s="720"/>
      <c r="B52" s="543"/>
      <c r="C52" s="541"/>
      <c r="D52" s="740"/>
      <c r="E52" s="542"/>
      <c r="F52" s="542"/>
      <c r="G52" s="568"/>
      <c r="H52" s="669"/>
      <c r="I52" s="544"/>
      <c r="J52" s="542"/>
      <c r="K52" s="542"/>
      <c r="L52" s="545"/>
      <c r="M52" s="545"/>
      <c r="N52" s="546"/>
      <c r="O52" s="547"/>
      <c r="P52" s="548"/>
      <c r="Q52" s="682"/>
      <c r="R52" s="753"/>
      <c r="S52" s="754"/>
      <c r="T52" s="754"/>
      <c r="U52" s="755"/>
      <c r="V52" s="391"/>
      <c r="W52" s="409"/>
      <c r="X52" s="411"/>
      <c r="Y52" s="389"/>
      <c r="Z52" s="392"/>
      <c r="AA52" s="665" t="e">
        <f t="shared" ref="AA52" si="11">AA51/Z51</f>
        <v>#DIV/0!</v>
      </c>
      <c r="AB52" s="587"/>
      <c r="AC52" s="587"/>
      <c r="AD52" s="612"/>
      <c r="AE52" s="406"/>
      <c r="AF52" s="409"/>
      <c r="AG52" s="409"/>
      <c r="AH52" s="393"/>
      <c r="AI52" s="403"/>
      <c r="AJ52" s="549"/>
      <c r="AK52" s="550"/>
      <c r="AL52" s="550"/>
      <c r="AM52" s="551"/>
      <c r="AN52" s="507"/>
    </row>
    <row r="53" spans="1:40" s="567" customFormat="1" ht="27" hidden="1" customHeight="1">
      <c r="A53" s="540">
        <v>23.8857142857143</v>
      </c>
      <c r="B53" s="543"/>
      <c r="C53" s="540"/>
      <c r="D53" s="744"/>
      <c r="E53" s="552"/>
      <c r="F53" s="552"/>
      <c r="G53" s="568"/>
      <c r="H53" s="669"/>
      <c r="I53" s="544"/>
      <c r="J53" s="542"/>
      <c r="K53" s="542"/>
      <c r="L53" s="545"/>
      <c r="M53" s="545"/>
      <c r="N53" s="542"/>
      <c r="O53" s="553"/>
      <c r="P53" s="554"/>
      <c r="Q53" s="683"/>
      <c r="R53" s="756"/>
      <c r="S53" s="757"/>
      <c r="T53" s="757"/>
      <c r="U53" s="758"/>
      <c r="V53" s="391"/>
      <c r="W53" s="409"/>
      <c r="X53" s="411"/>
      <c r="Y53" s="389"/>
      <c r="Z53" s="392"/>
      <c r="AA53" s="392"/>
      <c r="AB53" s="587"/>
      <c r="AC53" s="587"/>
      <c r="AD53" s="613"/>
      <c r="AE53" s="407"/>
      <c r="AF53" s="409"/>
      <c r="AG53" s="409"/>
      <c r="AH53" s="393"/>
      <c r="AI53" s="403"/>
      <c r="AJ53" s="549"/>
      <c r="AK53" s="550"/>
      <c r="AL53" s="550"/>
      <c r="AM53" s="551"/>
      <c r="AN53" s="507"/>
    </row>
    <row r="54" spans="1:40" s="567" customFormat="1" ht="27" hidden="1" customHeight="1" thickBot="1">
      <c r="A54" s="555">
        <v>25.092857142857198</v>
      </c>
      <c r="B54" s="557"/>
      <c r="C54" s="555"/>
      <c r="D54" s="745"/>
      <c r="E54" s="556"/>
      <c r="F54" s="556"/>
      <c r="G54" s="558"/>
      <c r="H54" s="670"/>
      <c r="I54" s="559"/>
      <c r="J54" s="560"/>
      <c r="K54" s="560"/>
      <c r="L54" s="561"/>
      <c r="M54" s="561"/>
      <c r="N54" s="560"/>
      <c r="O54" s="562"/>
      <c r="P54" s="563"/>
      <c r="Q54" s="684"/>
      <c r="R54" s="759"/>
      <c r="S54" s="760"/>
      <c r="T54" s="760"/>
      <c r="U54" s="761"/>
      <c r="V54" s="394"/>
      <c r="W54" s="410"/>
      <c r="X54" s="412"/>
      <c r="Y54" s="390"/>
      <c r="Z54" s="388"/>
      <c r="AA54" s="666"/>
      <c r="AB54" s="588"/>
      <c r="AC54" s="588"/>
      <c r="AD54" s="614"/>
      <c r="AE54" s="408"/>
      <c r="AF54" s="410"/>
      <c r="AG54" s="410"/>
      <c r="AH54" s="395"/>
      <c r="AI54" s="404"/>
      <c r="AJ54" s="564"/>
      <c r="AK54" s="565"/>
      <c r="AL54" s="565"/>
      <c r="AM54" s="566"/>
      <c r="AN54" s="680"/>
    </row>
    <row r="55" spans="1:40" s="567" customFormat="1" ht="27" hidden="1" customHeight="1">
      <c r="A55" s="616"/>
      <c r="B55" s="732"/>
      <c r="C55" s="617"/>
      <c r="D55" s="739"/>
      <c r="E55" s="618"/>
      <c r="F55" s="618"/>
      <c r="G55" s="619"/>
      <c r="H55" s="733"/>
      <c r="I55" s="622"/>
      <c r="J55" s="620"/>
      <c r="K55" s="620"/>
      <c r="L55" s="590"/>
      <c r="M55" s="591">
        <f>IF(Table1351452010[[#This Row],[หัก ณ ที่จ่าย
(ค่าบริการ)]]="มี",Table1351452010[[#This Row],[ค่าบริการเฉลี่ยต่อเดือน]]*3%,0)</f>
        <v>0</v>
      </c>
      <c r="N55" s="534">
        <f>Table1351452010[[#This Row],[ค่าบริการเฉลี่ยต่อเดือน]]-Table1351452010[[#This Row],[มูลค่าหัก 3%]]</f>
        <v>0</v>
      </c>
      <c r="O55"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5" s="735">
        <f>Table1351452010[[#This Row],[ระยะเวลาสัญญา
(เดือน)]]/$P$5</f>
        <v>0</v>
      </c>
      <c r="Q55" s="736"/>
      <c r="R55" s="752"/>
      <c r="S55" s="738"/>
      <c r="T55" s="738"/>
      <c r="U55" s="762"/>
      <c r="V55" s="621"/>
      <c r="W55" s="593"/>
      <c r="X55" s="594">
        <f>IF(Table1351452010[[#This Row],[หัก ณ ที่จ่าย
(ค่าติตั้ง)]]="มี",Table1351452010[[#This Row],[ค่าเชื่อมสัญญาณ/
ค่าติดตั้ง/
ค่าขายอุปกรณ์]]*$X$3,0)</f>
        <v>0</v>
      </c>
      <c r="Y55" s="396">
        <f>Table1351452010[[#This Row],[ค่าเชื่อมสัญญาณ/
ค่าติดตั้ง/
ค่าขายอุปกรณ์]]-Table1351452010[[#This Row],[มูลค่าหัก 3%
(ค่าติดตั้ง)]]</f>
        <v>0</v>
      </c>
      <c r="Z55" s="331"/>
      <c r="AA55" s="664">
        <f>Table1351452010[[#This Row],[ค่าเชื่อมสัญญาณ/
ค่าติดตั้ง/
ค่าขายอุปกรณ์
(เรียกเก็บสุทธิ)]]-Table1351452010[[#This Row],[ต้นทุน]]</f>
        <v>0</v>
      </c>
      <c r="AB55" s="536" t="str">
        <f>IF(Table1351452010[[#This Row],[ส่วนต่างกำไร]]&lt;(Table1351452010[[#This Row],[ต้นทุน]]*5%),Table1351452010[[#This Row],[ค่าเชื่อมสัญญาณ/
ค่าติดตั้ง/
ค่าขายอุปกรณ์
(เรียกเก็บสุทธิ)]]*$AB$3,"0")</f>
        <v>0</v>
      </c>
      <c r="AC55" s="536">
        <f>IF(Table1351452010[[#This Row],[ส่วนต่างกำไร]]&gt;=(Table1351452010[[#This Row],[ต้นทุน]]*5%),Table1351452010[[#This Row],[ค่าเชื่อมสัญญาณ/
ค่าติดตั้ง/
ค่าขายอุปกรณ์
(เรียกเก็บสุทธิ)]]*$AC$3,"0")</f>
        <v>0</v>
      </c>
      <c r="AD55" s="611">
        <f>SUM(Table1351452010[[#This Row],[คอมฯ
 5%]:[คอมฯ
10%]])</f>
        <v>0</v>
      </c>
      <c r="AE55" s="623"/>
      <c r="AF55" s="593"/>
      <c r="AG55" s="615">
        <f>IF(Table1351452010[[#This Row],[หัก ณ ที่จ่าย
(ค่าเชื่อมสัญญาณ)]]="มี",Table1351452010[[#This Row],[ค่าเชื่อมสัญญาณ]]*$AG$3,0)</f>
        <v>0</v>
      </c>
      <c r="AH55" s="397">
        <f>Table1351452010[[#This Row],[ค่าเชื่อมสัญญาณ]]-Table1351452010[[#This Row],[มูลค่าหัก 3%
(ค่าเชื่อมสัญญาณ)]]</f>
        <v>0</v>
      </c>
      <c r="AI55" s="402">
        <f>Table1351452010[[#This Row],[ค่าเชื่อมสัญญาณ
(เรียกเก็บสุทธิ)]]*$AI$4</f>
        <v>0</v>
      </c>
      <c r="AJ55" s="537">
        <f>Table1351452010[[#This Row],[ปีที่1
(ทำจ่ายรอบ 3/2025)]]+Table1351452010[[#This Row],[Total
ค่าเชื่มสัญญาณ/ค่าติดตั้ง/
ค่าขายอุปกรณ์
(2)]]+Table1351452010[[#This Row],[Total 
คอมฯค่าเชื่อมสัญญาณ
(3)]]</f>
        <v>0</v>
      </c>
      <c r="AK55" s="538"/>
      <c r="AL55" s="538"/>
      <c r="AM55" s="539"/>
      <c r="AN55" s="507"/>
    </row>
    <row r="56" spans="1:40" s="567" customFormat="1" ht="27" hidden="1" customHeight="1">
      <c r="A56" s="720"/>
      <c r="B56" s="543"/>
      <c r="C56" s="541"/>
      <c r="D56" s="740"/>
      <c r="E56" s="542"/>
      <c r="F56" s="542"/>
      <c r="G56" s="568"/>
      <c r="H56" s="669"/>
      <c r="I56" s="544"/>
      <c r="J56" s="542"/>
      <c r="K56" s="542"/>
      <c r="L56" s="545"/>
      <c r="M56" s="545"/>
      <c r="N56" s="546"/>
      <c r="O56" s="547"/>
      <c r="P56" s="548"/>
      <c r="Q56" s="682"/>
      <c r="R56" s="753"/>
      <c r="S56" s="754"/>
      <c r="T56" s="754"/>
      <c r="U56" s="755"/>
      <c r="V56" s="391"/>
      <c r="W56" s="409"/>
      <c r="X56" s="411"/>
      <c r="Y56" s="389"/>
      <c r="Z56" s="392"/>
      <c r="AA56" s="665" t="e">
        <f t="shared" ref="AA56" si="12">AA55/Z55</f>
        <v>#DIV/0!</v>
      </c>
      <c r="AB56" s="587"/>
      <c r="AC56" s="587"/>
      <c r="AD56" s="612"/>
      <c r="AE56" s="406"/>
      <c r="AF56" s="409"/>
      <c r="AG56" s="409"/>
      <c r="AH56" s="393"/>
      <c r="AI56" s="403"/>
      <c r="AJ56" s="549"/>
      <c r="AK56" s="550"/>
      <c r="AL56" s="550"/>
      <c r="AM56" s="551"/>
      <c r="AN56" s="507"/>
    </row>
    <row r="57" spans="1:40" s="567" customFormat="1" ht="27" hidden="1" customHeight="1">
      <c r="A57" s="540">
        <v>23.8857142857143</v>
      </c>
      <c r="B57" s="543"/>
      <c r="C57" s="540"/>
      <c r="D57" s="744"/>
      <c r="E57" s="552"/>
      <c r="F57" s="552"/>
      <c r="G57" s="568"/>
      <c r="H57" s="669"/>
      <c r="I57" s="544"/>
      <c r="J57" s="542"/>
      <c r="K57" s="542"/>
      <c r="L57" s="545"/>
      <c r="M57" s="545"/>
      <c r="N57" s="542"/>
      <c r="O57" s="553"/>
      <c r="P57" s="554"/>
      <c r="Q57" s="683"/>
      <c r="R57" s="756"/>
      <c r="S57" s="757"/>
      <c r="T57" s="757"/>
      <c r="U57" s="758"/>
      <c r="V57" s="391"/>
      <c r="W57" s="409"/>
      <c r="X57" s="411"/>
      <c r="Y57" s="389"/>
      <c r="Z57" s="392"/>
      <c r="AA57" s="392"/>
      <c r="AB57" s="587"/>
      <c r="AC57" s="587"/>
      <c r="AD57" s="613"/>
      <c r="AE57" s="407"/>
      <c r="AF57" s="409"/>
      <c r="AG57" s="409"/>
      <c r="AH57" s="393"/>
      <c r="AI57" s="403"/>
      <c r="AJ57" s="549"/>
      <c r="AK57" s="550"/>
      <c r="AL57" s="550"/>
      <c r="AM57" s="551"/>
      <c r="AN57" s="507"/>
    </row>
    <row r="58" spans="1:40" s="567" customFormat="1" ht="27" hidden="1" customHeight="1" thickBot="1">
      <c r="A58" s="555">
        <v>25.092857142857198</v>
      </c>
      <c r="B58" s="557"/>
      <c r="C58" s="555"/>
      <c r="D58" s="745"/>
      <c r="E58" s="556"/>
      <c r="F58" s="556"/>
      <c r="G58" s="558"/>
      <c r="H58" s="670"/>
      <c r="I58" s="559"/>
      <c r="J58" s="560"/>
      <c r="K58" s="560"/>
      <c r="L58" s="561"/>
      <c r="M58" s="561"/>
      <c r="N58" s="560"/>
      <c r="O58" s="562"/>
      <c r="P58" s="563"/>
      <c r="Q58" s="684"/>
      <c r="R58" s="759"/>
      <c r="S58" s="760"/>
      <c r="T58" s="760"/>
      <c r="U58" s="761"/>
      <c r="V58" s="394"/>
      <c r="W58" s="410"/>
      <c r="X58" s="412"/>
      <c r="Y58" s="390"/>
      <c r="Z58" s="388"/>
      <c r="AA58" s="666"/>
      <c r="AB58" s="588"/>
      <c r="AC58" s="588"/>
      <c r="AD58" s="614"/>
      <c r="AE58" s="408"/>
      <c r="AF58" s="410"/>
      <c r="AG58" s="410"/>
      <c r="AH58" s="395"/>
      <c r="AI58" s="404"/>
      <c r="AJ58" s="564"/>
      <c r="AK58" s="565"/>
      <c r="AL58" s="565"/>
      <c r="AM58" s="566"/>
      <c r="AN58" s="680"/>
    </row>
    <row r="59" spans="1:40" s="567" customFormat="1" ht="27" hidden="1" customHeight="1">
      <c r="A59" s="616"/>
      <c r="B59" s="732"/>
      <c r="C59" s="617"/>
      <c r="D59" s="739"/>
      <c r="E59" s="618"/>
      <c r="F59" s="618"/>
      <c r="G59" s="619"/>
      <c r="H59" s="733"/>
      <c r="I59" s="622"/>
      <c r="J59" s="620"/>
      <c r="K59" s="620"/>
      <c r="L59" s="590"/>
      <c r="M59" s="591">
        <f>IF(Table1351452010[[#This Row],[หัก ณ ที่จ่าย
(ค่าบริการ)]]="มี",Table1351452010[[#This Row],[ค่าบริการเฉลี่ยต่อเดือน]]*3%,0)</f>
        <v>0</v>
      </c>
      <c r="N59" s="534">
        <f>Table1351452010[[#This Row],[ค่าบริการเฉลี่ยต่อเดือน]]-Table1351452010[[#This Row],[มูลค่าหัก 3%]]</f>
        <v>0</v>
      </c>
      <c r="O59"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9" s="735">
        <f>Table1351452010[[#This Row],[ระยะเวลาสัญญา
(เดือน)]]/$P$5</f>
        <v>0</v>
      </c>
      <c r="Q59" s="737"/>
      <c r="R59" s="738"/>
      <c r="S59" s="738"/>
      <c r="T59" s="738"/>
      <c r="U59" s="762"/>
      <c r="V59" s="675"/>
      <c r="W59" s="593"/>
      <c r="X59" s="594">
        <f>IF(Table1351452010[[#This Row],[หัก ณ ที่จ่าย
(ค่าติตั้ง)]]="มี",Table1351452010[[#This Row],[ค่าเชื่อมสัญญาณ/
ค่าติดตั้ง/
ค่าขายอุปกรณ์]]*$X$3,0)</f>
        <v>0</v>
      </c>
      <c r="Y59" s="396">
        <f>Table1351452010[[#This Row],[ค่าเชื่อมสัญญาณ/
ค่าติดตั้ง/
ค่าขายอุปกรณ์]]-Table1351452010[[#This Row],[มูลค่าหัก 3%
(ค่าติดตั้ง)]]</f>
        <v>0</v>
      </c>
      <c r="Z59" s="676"/>
      <c r="AA59" s="664">
        <f>Table1351452010[[#This Row],[ค่าเชื่อมสัญญาณ/
ค่าติดตั้ง/
ค่าขายอุปกรณ์
(เรียกเก็บสุทธิ)]]-Table1351452010[[#This Row],[ต้นทุน]]</f>
        <v>0</v>
      </c>
      <c r="AB59" s="536" t="str">
        <f>IF(Table1351452010[[#This Row],[ส่วนต่างกำไร]]&lt;(Table1351452010[[#This Row],[ต้นทุน]]*5%),Table1351452010[[#This Row],[ค่าเชื่อมสัญญาณ/
ค่าติดตั้ง/
ค่าขายอุปกรณ์
(เรียกเก็บสุทธิ)]]*$AB$3,"0")</f>
        <v>0</v>
      </c>
      <c r="AC59" s="536">
        <f>IF(Table1351452010[[#This Row],[ส่วนต่างกำไร]]&gt;=(Table1351452010[[#This Row],[ต้นทุน]]*5%),Table1351452010[[#This Row],[ค่าเชื่อมสัญญาณ/
ค่าติดตั้ง/
ค่าขายอุปกรณ์
(เรียกเก็บสุทธิ)]]*$AC$3,"0")</f>
        <v>0</v>
      </c>
      <c r="AD59" s="611">
        <f>SUM(Table1351452010[[#This Row],[คอมฯ
 5%]:[คอมฯ
10%]])</f>
        <v>0</v>
      </c>
      <c r="AE59" s="623"/>
      <c r="AF59" s="593"/>
      <c r="AG59" s="615">
        <f>IF(Table1351452010[[#This Row],[หัก ณ ที่จ่าย
(ค่าเชื่อมสัญญาณ)]]="มี",Table1351452010[[#This Row],[ค่าเชื่อมสัญญาณ]]*$AG$3,0)</f>
        <v>0</v>
      </c>
      <c r="AH59" s="397">
        <f>Table1351452010[[#This Row],[ค่าเชื่อมสัญญาณ]]-Table1351452010[[#This Row],[มูลค่าหัก 3%
(ค่าเชื่อมสัญญาณ)]]</f>
        <v>0</v>
      </c>
      <c r="AI59" s="402">
        <f>Table1351452010[[#This Row],[ค่าเชื่อมสัญญาณ
(เรียกเก็บสุทธิ)]]*$AI$4</f>
        <v>0</v>
      </c>
      <c r="AJ59" s="537">
        <f>Table1351452010[[#This Row],[ปีที่1
(ทำจ่ายรอบ 3/2025)]]+Table1351452010[[#This Row],[Total
ค่าเชื่มสัญญาณ/ค่าติดตั้ง/
ค่าขายอุปกรณ์
(2)]]+Table1351452010[[#This Row],[Total 
คอมฯค่าเชื่อมสัญญาณ
(3)]]</f>
        <v>0</v>
      </c>
      <c r="AK59" s="538"/>
      <c r="AL59" s="538"/>
      <c r="AM59" s="539"/>
      <c r="AN59" s="507"/>
    </row>
    <row r="60" spans="1:40" s="567" customFormat="1" ht="27" hidden="1" customHeight="1">
      <c r="A60" s="720"/>
      <c r="B60" s="543"/>
      <c r="C60" s="541"/>
      <c r="D60" s="740"/>
      <c r="E60" s="542"/>
      <c r="F60" s="542"/>
      <c r="G60" s="568"/>
      <c r="H60" s="669"/>
      <c r="I60" s="544"/>
      <c r="J60" s="542"/>
      <c r="K60" s="542"/>
      <c r="L60" s="545"/>
      <c r="M60" s="545"/>
      <c r="N60" s="546"/>
      <c r="O60" s="547"/>
      <c r="P60" s="548"/>
      <c r="Q60" s="682"/>
      <c r="R60" s="754"/>
      <c r="S60" s="754"/>
      <c r="T60" s="754"/>
      <c r="U60" s="755"/>
      <c r="V60" s="391"/>
      <c r="W60" s="409"/>
      <c r="X60" s="411"/>
      <c r="Y60" s="389"/>
      <c r="Z60" s="392"/>
      <c r="AA60" s="665" t="e">
        <f t="shared" ref="AA60" si="13">AA59/Z59</f>
        <v>#DIV/0!</v>
      </c>
      <c r="AB60" s="587"/>
      <c r="AC60" s="587"/>
      <c r="AD60" s="612"/>
      <c r="AE60" s="406"/>
      <c r="AF60" s="409"/>
      <c r="AG60" s="409"/>
      <c r="AH60" s="393"/>
      <c r="AI60" s="403"/>
      <c r="AJ60" s="549"/>
      <c r="AK60" s="550"/>
      <c r="AL60" s="550"/>
      <c r="AM60" s="551"/>
      <c r="AN60" s="507"/>
    </row>
    <row r="61" spans="1:40" s="567" customFormat="1" ht="27" hidden="1" customHeight="1">
      <c r="A61" s="540">
        <v>23.8857142857143</v>
      </c>
      <c r="B61" s="543"/>
      <c r="C61" s="540"/>
      <c r="D61" s="746"/>
      <c r="E61" s="552"/>
      <c r="F61" s="552"/>
      <c r="G61" s="568"/>
      <c r="H61" s="669"/>
      <c r="I61" s="544"/>
      <c r="J61" s="542"/>
      <c r="K61" s="542"/>
      <c r="L61" s="545"/>
      <c r="M61" s="545"/>
      <c r="N61" s="542"/>
      <c r="O61" s="553"/>
      <c r="P61" s="554"/>
      <c r="Q61" s="683"/>
      <c r="R61" s="757"/>
      <c r="S61" s="757"/>
      <c r="T61" s="757"/>
      <c r="U61" s="758"/>
      <c r="V61" s="391"/>
      <c r="W61" s="409"/>
      <c r="X61" s="411"/>
      <c r="Y61" s="389"/>
      <c r="Z61" s="392"/>
      <c r="AA61" s="414"/>
      <c r="AB61" s="587"/>
      <c r="AC61" s="587"/>
      <c r="AD61" s="613"/>
      <c r="AE61" s="407"/>
      <c r="AF61" s="409"/>
      <c r="AG61" s="409"/>
      <c r="AH61" s="393"/>
      <c r="AI61" s="403"/>
      <c r="AJ61" s="549"/>
      <c r="AK61" s="550"/>
      <c r="AL61" s="550"/>
      <c r="AM61" s="551"/>
      <c r="AN61" s="507"/>
    </row>
    <row r="62" spans="1:40" s="567" customFormat="1" ht="27" hidden="1" customHeight="1" thickBot="1">
      <c r="A62" s="555">
        <v>25.092857142857198</v>
      </c>
      <c r="B62" s="557"/>
      <c r="C62" s="555"/>
      <c r="D62" s="745"/>
      <c r="E62" s="556"/>
      <c r="F62" s="556"/>
      <c r="G62" s="558"/>
      <c r="H62" s="670"/>
      <c r="I62" s="559"/>
      <c r="J62" s="560"/>
      <c r="K62" s="560"/>
      <c r="L62" s="561"/>
      <c r="M62" s="561"/>
      <c r="N62" s="560"/>
      <c r="O62" s="562"/>
      <c r="P62" s="563"/>
      <c r="Q62" s="684"/>
      <c r="R62" s="760"/>
      <c r="S62" s="760"/>
      <c r="T62" s="760"/>
      <c r="U62" s="761"/>
      <c r="V62" s="394"/>
      <c r="W62" s="410"/>
      <c r="X62" s="412"/>
      <c r="Y62" s="390"/>
      <c r="Z62" s="388"/>
      <c r="AA62" s="415"/>
      <c r="AB62" s="588"/>
      <c r="AC62" s="588"/>
      <c r="AD62" s="614"/>
      <c r="AE62" s="408"/>
      <c r="AF62" s="410"/>
      <c r="AG62" s="410"/>
      <c r="AH62" s="395"/>
      <c r="AI62" s="404"/>
      <c r="AJ62" s="564"/>
      <c r="AK62" s="565"/>
      <c r="AL62" s="565"/>
      <c r="AM62" s="566"/>
      <c r="AN62" s="680"/>
    </row>
    <row r="63" spans="1:40" s="567" customFormat="1" ht="27" hidden="1" customHeight="1">
      <c r="A63" s="616"/>
      <c r="B63" s="732"/>
      <c r="C63" s="617"/>
      <c r="D63" s="739"/>
      <c r="E63" s="618"/>
      <c r="F63" s="618"/>
      <c r="G63" s="619"/>
      <c r="H63" s="733"/>
      <c r="I63" s="622"/>
      <c r="J63" s="620"/>
      <c r="K63" s="620"/>
      <c r="L63" s="590"/>
      <c r="M63" s="591">
        <f>IF(Table1351452010[[#This Row],[หัก ณ ที่จ่าย
(ค่าบริการ)]]="มี",Table1351452010[[#This Row],[ค่าบริการเฉลี่ยต่อเดือน]]*3%,0)</f>
        <v>0</v>
      </c>
      <c r="N63" s="534">
        <f>Table1351452010[[#This Row],[ค่าบริการเฉลี่ยต่อเดือน]]-Table1351452010[[#This Row],[มูลค่าหัก 3%]]</f>
        <v>0</v>
      </c>
      <c r="O63" s="535">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3" s="735">
        <f>Table1351452010[[#This Row],[ระยะเวลาสัญญา
(เดือน)]]/$P$5</f>
        <v>0</v>
      </c>
      <c r="Q63" s="736"/>
      <c r="R63" s="752"/>
      <c r="S63" s="738"/>
      <c r="T63" s="738"/>
      <c r="U63" s="762"/>
      <c r="V63" s="621"/>
      <c r="W63" s="593"/>
      <c r="X63" s="594">
        <f>IF(Table1351452010[[#This Row],[หัก ณ ที่จ่าย
(ค่าติตั้ง)]]="มี",Table1351452010[[#This Row],[ค่าเชื่อมสัญญาณ/
ค่าติดตั้ง/
ค่าขายอุปกรณ์]]*$X$3,0)</f>
        <v>0</v>
      </c>
      <c r="Y63" s="396">
        <f>Table1351452010[[#This Row],[ค่าเชื่อมสัญญาณ/
ค่าติดตั้ง/
ค่าขายอุปกรณ์]]-Table1351452010[[#This Row],[มูลค่าหัก 3%
(ค่าติดตั้ง)]]</f>
        <v>0</v>
      </c>
      <c r="Z63" s="676"/>
      <c r="AA63" s="664">
        <f>Table1351452010[[#This Row],[ค่าเชื่อมสัญญาณ/
ค่าติดตั้ง/
ค่าขายอุปกรณ์
(เรียกเก็บสุทธิ)]]-Table1351452010[[#This Row],[ต้นทุน]]</f>
        <v>0</v>
      </c>
      <c r="AB63" s="536" t="str">
        <f>IF(Table1351452010[[#This Row],[ส่วนต่างกำไร]]&lt;(Table1351452010[[#This Row],[ต้นทุน]]*5%),Table1351452010[[#This Row],[ค่าเชื่อมสัญญาณ/
ค่าติดตั้ง/
ค่าขายอุปกรณ์
(เรียกเก็บสุทธิ)]]*$AB$3,"0")</f>
        <v>0</v>
      </c>
      <c r="AC63" s="536">
        <f>IF(Table1351452010[[#This Row],[ส่วนต่างกำไร]]&gt;=(Table1351452010[[#This Row],[ต้นทุน]]*5%),Table1351452010[[#This Row],[ค่าเชื่อมสัญญาณ/
ค่าติดตั้ง/
ค่าขายอุปกรณ์
(เรียกเก็บสุทธิ)]]*$AC$3,"0")</f>
        <v>0</v>
      </c>
      <c r="AD63" s="611">
        <f>SUM(Table1351452010[[#This Row],[คอมฯ
 5%]:[คอมฯ
10%]])</f>
        <v>0</v>
      </c>
      <c r="AE63" s="623"/>
      <c r="AF63" s="593"/>
      <c r="AG63" s="615">
        <f>IF(Table1351452010[[#This Row],[หัก ณ ที่จ่าย
(ค่าเชื่อมสัญญาณ)]]="มี",Table1351452010[[#This Row],[ค่าเชื่อมสัญญาณ]]*$AG$3,0)</f>
        <v>0</v>
      </c>
      <c r="AH63" s="397">
        <f>Table1351452010[[#This Row],[ค่าเชื่อมสัญญาณ]]-Table1351452010[[#This Row],[มูลค่าหัก 3%
(ค่าเชื่อมสัญญาณ)]]</f>
        <v>0</v>
      </c>
      <c r="AI63" s="402">
        <f>Table1351452010[[#This Row],[ค่าเชื่อมสัญญาณ
(เรียกเก็บสุทธิ)]]*$AI$4</f>
        <v>0</v>
      </c>
      <c r="AJ63" s="537">
        <f>Table1351452010[[#This Row],[ปีที่1
(ทำจ่ายรอบ 3/2025)]]+Table1351452010[[#This Row],[Total
ค่าเชื่มสัญญาณ/ค่าติดตั้ง/
ค่าขายอุปกรณ์
(2)]]+Table1351452010[[#This Row],[Total 
คอมฯค่าเชื่อมสัญญาณ
(3)]]</f>
        <v>0</v>
      </c>
      <c r="AK63" s="538"/>
      <c r="AL63" s="538"/>
      <c r="AM63" s="539"/>
      <c r="AN63" s="507"/>
    </row>
    <row r="64" spans="1:40" s="567" customFormat="1" ht="27" hidden="1" customHeight="1">
      <c r="A64" s="720"/>
      <c r="B64" s="543"/>
      <c r="C64" s="541"/>
      <c r="D64" s="740"/>
      <c r="E64" s="542"/>
      <c r="F64" s="542"/>
      <c r="G64" s="568"/>
      <c r="H64" s="669"/>
      <c r="I64" s="544"/>
      <c r="J64" s="542"/>
      <c r="K64" s="542"/>
      <c r="L64" s="545"/>
      <c r="M64" s="545"/>
      <c r="N64" s="546"/>
      <c r="O64" s="547"/>
      <c r="P64" s="548"/>
      <c r="Q64" s="682"/>
      <c r="R64" s="753"/>
      <c r="S64" s="754"/>
      <c r="T64" s="754"/>
      <c r="U64" s="755"/>
      <c r="V64" s="391"/>
      <c r="W64" s="409"/>
      <c r="X64" s="411"/>
      <c r="Y64" s="389"/>
      <c r="Z64" s="392"/>
      <c r="AA64" s="665" t="e">
        <f t="shared" ref="AA64" si="14">AA63/Z63</f>
        <v>#DIV/0!</v>
      </c>
      <c r="AB64" s="587"/>
      <c r="AC64" s="587"/>
      <c r="AD64" s="612"/>
      <c r="AE64" s="406"/>
      <c r="AF64" s="409"/>
      <c r="AG64" s="409"/>
      <c r="AH64" s="393"/>
      <c r="AI64" s="403"/>
      <c r="AJ64" s="549"/>
      <c r="AK64" s="550"/>
      <c r="AL64" s="550"/>
      <c r="AM64" s="551"/>
      <c r="AN64" s="507"/>
    </row>
    <row r="65" spans="1:40" s="567" customFormat="1" ht="27" hidden="1" customHeight="1">
      <c r="A65" s="540">
        <v>23.8857142857143</v>
      </c>
      <c r="B65" s="543"/>
      <c r="C65" s="540"/>
      <c r="D65" s="744"/>
      <c r="E65" s="552"/>
      <c r="F65" s="552"/>
      <c r="G65" s="568"/>
      <c r="H65" s="669"/>
      <c r="I65" s="544"/>
      <c r="J65" s="542"/>
      <c r="K65" s="542"/>
      <c r="L65" s="545"/>
      <c r="M65" s="545"/>
      <c r="N65" s="542"/>
      <c r="O65" s="553"/>
      <c r="P65" s="554"/>
      <c r="Q65" s="683"/>
      <c r="R65" s="756"/>
      <c r="S65" s="757"/>
      <c r="T65" s="757"/>
      <c r="U65" s="758"/>
      <c r="V65" s="391"/>
      <c r="W65" s="409"/>
      <c r="X65" s="411"/>
      <c r="Y65" s="389"/>
      <c r="Z65" s="392"/>
      <c r="AA65" s="392"/>
      <c r="AB65" s="587"/>
      <c r="AC65" s="587"/>
      <c r="AD65" s="613"/>
      <c r="AE65" s="407"/>
      <c r="AF65" s="409"/>
      <c r="AG65" s="409"/>
      <c r="AH65" s="393"/>
      <c r="AI65" s="403"/>
      <c r="AJ65" s="549"/>
      <c r="AK65" s="550"/>
      <c r="AL65" s="550"/>
      <c r="AM65" s="551"/>
      <c r="AN65" s="507"/>
    </row>
    <row r="66" spans="1:40" s="567" customFormat="1" ht="27" hidden="1" customHeight="1" thickBot="1">
      <c r="A66" s="555">
        <v>25.092857142857198</v>
      </c>
      <c r="B66" s="557"/>
      <c r="C66" s="555"/>
      <c r="D66" s="745"/>
      <c r="E66" s="556"/>
      <c r="F66" s="556"/>
      <c r="G66" s="558"/>
      <c r="H66" s="670"/>
      <c r="I66" s="559"/>
      <c r="J66" s="560"/>
      <c r="K66" s="560"/>
      <c r="L66" s="561"/>
      <c r="M66" s="561"/>
      <c r="N66" s="560"/>
      <c r="O66" s="562"/>
      <c r="P66" s="563"/>
      <c r="Q66" s="684"/>
      <c r="R66" s="759"/>
      <c r="S66" s="760"/>
      <c r="T66" s="760"/>
      <c r="U66" s="761"/>
      <c r="V66" s="394"/>
      <c r="W66" s="410"/>
      <c r="X66" s="412"/>
      <c r="Y66" s="390"/>
      <c r="Z66" s="666"/>
      <c r="AA66" s="666"/>
      <c r="AB66" s="588"/>
      <c r="AC66" s="588"/>
      <c r="AD66" s="614"/>
      <c r="AE66" s="408"/>
      <c r="AF66" s="410"/>
      <c r="AG66" s="410"/>
      <c r="AH66" s="395"/>
      <c r="AI66" s="404"/>
      <c r="AJ66" s="564"/>
      <c r="AK66" s="565"/>
      <c r="AL66" s="565"/>
      <c r="AM66" s="566"/>
      <c r="AN66" s="680"/>
    </row>
    <row r="67" spans="1:40" s="571" customFormat="1" ht="28.5" customHeight="1" thickBot="1">
      <c r="A67" s="604"/>
      <c r="B67" s="605"/>
      <c r="C67" s="604"/>
      <c r="D67" s="605" t="s">
        <v>5</v>
      </c>
      <c r="E67" s="605"/>
      <c r="F67" s="605"/>
      <c r="G67" s="606"/>
      <c r="H67" s="671"/>
      <c r="I67" s="606"/>
      <c r="J67" s="569"/>
      <c r="K67" s="569"/>
      <c r="L67" s="607"/>
      <c r="M67" s="608">
        <f>SUM(M7:M66)</f>
        <v>4668.18</v>
      </c>
      <c r="N67" s="569">
        <f>SUM(N7:N66)</f>
        <v>166037.82</v>
      </c>
      <c r="O67" s="569">
        <f>SUM(O7:O66)</f>
        <v>242740.38631999999</v>
      </c>
      <c r="P67" s="609"/>
      <c r="Q67" s="569">
        <f>Q7+Q35+Q47+Q51+Q55+Q59+Q63+Q11+Q15+Q19+Q23+Q27+Q31+Q39+Q43</f>
        <v>134441.22632000002</v>
      </c>
      <c r="R67" s="569">
        <f>R7+R35+R47+R51+R55+R59+R63</f>
        <v>5761.8</v>
      </c>
      <c r="S67" s="569">
        <f>S7+S35+S47+S51+S55+S59+S63</f>
        <v>5761.8</v>
      </c>
      <c r="T67" s="569">
        <f>T7+T35+T47+T51+T55+T59+T63</f>
        <v>5761.8</v>
      </c>
      <c r="U67" s="569">
        <f>U7+U35+U47+U51+U55+U59+U63</f>
        <v>5761.8</v>
      </c>
      <c r="V67" s="405">
        <f>SUM(V7:V66)</f>
        <v>186100</v>
      </c>
      <c r="W67" s="610"/>
      <c r="X67" s="405">
        <f>SUM(X7:X66)</f>
        <v>3000</v>
      </c>
      <c r="Y67" s="405">
        <f>SUM(Y7+Y11+Y15+Y19+Y23+Y27+Y31+Y35+Y39+Y43+Y44+Y47)</f>
        <v>183100</v>
      </c>
      <c r="Z67" s="405">
        <f>SUM(Z7:Z66)</f>
        <v>955372.88</v>
      </c>
      <c r="AA67" s="405">
        <f>AA7+AA35+AA47+AA51+AA55+AA59+AA63+AA11+AA15+AA19+AA23+AA27+AA31+AA39+AA43</f>
        <v>-772272.88</v>
      </c>
      <c r="AB67" s="569">
        <f>SUM(AB7:AB66)</f>
        <v>8975</v>
      </c>
      <c r="AC67" s="569">
        <f>SUM(AC7:AC66)</f>
        <v>360</v>
      </c>
      <c r="AD67" s="569">
        <f>SUM(AD7:AD66)</f>
        <v>9335</v>
      </c>
      <c r="AE67" s="405"/>
      <c r="AF67" s="610"/>
      <c r="AG67" s="610"/>
      <c r="AH67" s="405">
        <f t="shared" ref="AH67:AM67" si="15">SUM(AH7:AH66)</f>
        <v>0</v>
      </c>
      <c r="AI67" s="405">
        <f t="shared" si="15"/>
        <v>0</v>
      </c>
      <c r="AJ67" s="570">
        <f>SUM(AJ7:AJ66)</f>
        <v>143776.22632000002</v>
      </c>
      <c r="AK67" s="628">
        <f t="shared" si="15"/>
        <v>0</v>
      </c>
      <c r="AL67" s="628">
        <f t="shared" si="15"/>
        <v>0</v>
      </c>
      <c r="AM67" s="628">
        <f t="shared" si="15"/>
        <v>0</v>
      </c>
    </row>
    <row r="68" spans="1:40" s="571" customFormat="1" ht="28.5" customHeight="1" thickTop="1">
      <c r="A68" s="515"/>
      <c r="B68" s="516"/>
      <c r="C68" s="515"/>
      <c r="D68" s="516"/>
      <c r="E68" s="516"/>
      <c r="F68" s="516"/>
      <c r="G68" s="632"/>
      <c r="H68" s="672"/>
      <c r="I68" s="632"/>
      <c r="J68" s="633"/>
      <c r="K68" s="633"/>
      <c r="L68" s="634"/>
      <c r="M68" s="635"/>
      <c r="N68" s="633"/>
      <c r="O68" s="633"/>
      <c r="P68" s="636"/>
      <c r="Q68" s="818" t="s">
        <v>287</v>
      </c>
      <c r="R68" s="633"/>
      <c r="S68" s="633"/>
      <c r="T68" s="633"/>
      <c r="U68" s="633"/>
      <c r="V68" s="637"/>
      <c r="W68" s="638"/>
      <c r="X68" s="637"/>
      <c r="Y68" s="637"/>
      <c r="Z68" s="637"/>
      <c r="AA68" s="637"/>
      <c r="AB68" s="633"/>
      <c r="AC68" s="633"/>
      <c r="AD68" s="633"/>
      <c r="AE68" s="637"/>
      <c r="AF68" s="638"/>
      <c r="AG68" s="638"/>
      <c r="AH68" s="637"/>
      <c r="AI68" s="637"/>
      <c r="AJ68" s="633"/>
      <c r="AK68" s="633"/>
      <c r="AL68" s="633"/>
      <c r="AM68" s="633"/>
      <c r="AN68" s="515"/>
    </row>
    <row r="69" spans="1:40" ht="25.2" customHeight="1">
      <c r="D69" s="639" t="s">
        <v>203</v>
      </c>
      <c r="AE69" s="644"/>
      <c r="AJ69" s="579"/>
      <c r="AK69" s="580"/>
      <c r="AL69" s="580"/>
      <c r="AM69" s="581"/>
    </row>
    <row r="70" spans="1:40" s="645" customFormat="1" ht="37.799999999999997" customHeight="1">
      <c r="B70" s="649"/>
      <c r="D70" s="646" t="s">
        <v>201</v>
      </c>
      <c r="E70" s="647">
        <v>148580</v>
      </c>
      <c r="F70" s="648"/>
      <c r="G70" s="650"/>
      <c r="H70" s="674"/>
      <c r="I70" s="649"/>
      <c r="J70" s="648"/>
      <c r="K70" s="648"/>
      <c r="L70" s="651"/>
      <c r="M70" s="651"/>
      <c r="N70" s="648"/>
      <c r="O70" s="652"/>
      <c r="P70" s="653"/>
      <c r="Q70" s="653"/>
      <c r="R70" s="764"/>
      <c r="S70" s="764"/>
      <c r="T70" s="764"/>
      <c r="U70" s="764"/>
      <c r="V70" s="654"/>
      <c r="W70" s="655"/>
      <c r="X70" s="655"/>
      <c r="Y70" s="654"/>
      <c r="Z70" s="654"/>
      <c r="AA70" s="655"/>
      <c r="AB70" s="656"/>
      <c r="AC70" s="656"/>
      <c r="AD70" s="652"/>
      <c r="AE70" s="657"/>
      <c r="AF70" s="658"/>
      <c r="AG70" s="658"/>
      <c r="AH70" s="659"/>
      <c r="AI70" s="660"/>
      <c r="AJ70" s="661"/>
      <c r="AK70" s="656"/>
      <c r="AL70" s="656"/>
      <c r="AM70" s="662"/>
      <c r="AN70" s="663"/>
    </row>
    <row r="71" spans="1:40" ht="17.399999999999999" hidden="1">
      <c r="D71" s="641" t="s">
        <v>202</v>
      </c>
      <c r="E71" s="642">
        <v>5000</v>
      </c>
      <c r="F71" s="583"/>
    </row>
    <row r="72" spans="1:40" ht="17.399999999999999" hidden="1">
      <c r="E72" s="643">
        <f>SUM(E70:E71)</f>
        <v>153580</v>
      </c>
    </row>
  </sheetData>
  <sheetProtection formatCells="0" insertRows="0" insertHyperlinks="0" deleteRows="0" sort="0" autoFilter="0" pivotTables="0"/>
  <mergeCells count="7">
    <mergeCell ref="AE5:AI5"/>
    <mergeCell ref="V5:AD5"/>
    <mergeCell ref="A1:N1"/>
    <mergeCell ref="Q4:U4"/>
    <mergeCell ref="Q5:U5"/>
    <mergeCell ref="V4:AD4"/>
    <mergeCell ref="AE4:AI4"/>
  </mergeCells>
  <phoneticPr fontId="20" type="noConversion"/>
  <dataValidations count="3">
    <dataValidation type="list" allowBlank="1" showInputMessage="1" showErrorMessage="1" sqref="WMO983070 JU2 TQ2 ADM2 ANI2 AXE2 BHA2 BQW2 CAS2 CKO2 CUK2 DEG2 DOC2 DXY2 EHU2 ERQ2 FBM2 FLI2 FVE2 GFA2 GOW2 GYS2 HIO2 HSK2 ICG2 IMC2 IVY2 JFU2 JPQ2 JZM2 KJI2 KTE2 LDA2 LMW2 LWS2 MGO2 MQK2 NAG2 NKC2 NTY2 ODU2 ONQ2 OXM2 PHI2 PRE2 QBA2 QKW2 QUS2 REO2 ROK2 RYG2 SIC2 SRY2 TBU2 TLQ2 TVM2 UFI2 UPE2 UZA2 VIW2 VSS2 WCO2 WMK2 QUW983070 JY65566 TU65566 ADQ65566 ANM65566 AXI65566 BHE65566 BRA65566 CAW65566 CKS65566 CUO65566 DEK65566 DOG65566 DYC65566 EHY65566 ERU65566 FBQ65566 FLM65566 FVI65566 GFE65566 GPA65566 GYW65566 HIS65566 HSO65566 ICK65566 IMG65566 IWC65566 JFY65566 JPU65566 JZQ65566 KJM65566 KTI65566 LDE65566 LNA65566 LWW65566 MGS65566 MQO65566 NAK65566 NKG65566 NUC65566 ODY65566 ONU65566 OXQ65566 PHM65566 PRI65566 QBE65566 QLA65566 QUW65566 RES65566 ROO65566 RYK65566 SIG65566 SSC65566 TBY65566 TLU65566 TVQ65566 UFM65566 UPI65566 UZE65566 VJA65566 VSW65566 WCS65566 WMO65566 RES983070 JY131102 TU131102 ADQ131102 ANM131102 AXI131102 BHE131102 BRA131102 CAW131102 CKS131102 CUO131102 DEK131102 DOG131102 DYC131102 EHY131102 ERU131102 FBQ131102 FLM131102 FVI131102 GFE131102 GPA131102 GYW131102 HIS131102 HSO131102 ICK131102 IMG131102 IWC131102 JFY131102 JPU131102 JZQ131102 KJM131102 KTI131102 LDE131102 LNA131102 LWW131102 MGS131102 MQO131102 NAK131102 NKG131102 NUC131102 ODY131102 ONU131102 OXQ131102 PHM131102 PRI131102 QBE131102 QLA131102 QUW131102 RES131102 ROO131102 RYK131102 SIG131102 SSC131102 TBY131102 TLU131102 TVQ131102 UFM131102 UPI131102 UZE131102 VJA131102 VSW131102 WCS131102 WMO131102 ROO983070 JY196638 TU196638 ADQ196638 ANM196638 AXI196638 BHE196638 BRA196638 CAW196638 CKS196638 CUO196638 DEK196638 DOG196638 DYC196638 EHY196638 ERU196638 FBQ196638 FLM196638 FVI196638 GFE196638 GPA196638 GYW196638 HIS196638 HSO196638 ICK196638 IMG196638 IWC196638 JFY196638 JPU196638 JZQ196638 KJM196638 KTI196638 LDE196638 LNA196638 LWW196638 MGS196638 MQO196638 NAK196638 NKG196638 NUC196638 ODY196638 ONU196638 OXQ196638 PHM196638 PRI196638 QBE196638 QLA196638 QUW196638 RES196638 ROO196638 RYK196638 SIG196638 SSC196638 TBY196638 TLU196638 TVQ196638 UFM196638 UPI196638 UZE196638 VJA196638 VSW196638 WCS196638 WMO196638 RYK983070 JY262174 TU262174 ADQ262174 ANM262174 AXI262174 BHE262174 BRA262174 CAW262174 CKS262174 CUO262174 DEK262174 DOG262174 DYC262174 EHY262174 ERU262174 FBQ262174 FLM262174 FVI262174 GFE262174 GPA262174 GYW262174 HIS262174 HSO262174 ICK262174 IMG262174 IWC262174 JFY262174 JPU262174 JZQ262174 KJM262174 KTI262174 LDE262174 LNA262174 LWW262174 MGS262174 MQO262174 NAK262174 NKG262174 NUC262174 ODY262174 ONU262174 OXQ262174 PHM262174 PRI262174 QBE262174 QLA262174 QUW262174 RES262174 ROO262174 RYK262174 SIG262174 SSC262174 TBY262174 TLU262174 TVQ262174 UFM262174 UPI262174 UZE262174 VJA262174 VSW262174 WCS262174 WMO262174 SIG983070 JY327710 TU327710 ADQ327710 ANM327710 AXI327710 BHE327710 BRA327710 CAW327710 CKS327710 CUO327710 DEK327710 DOG327710 DYC327710 EHY327710 ERU327710 FBQ327710 FLM327710 FVI327710 GFE327710 GPA327710 GYW327710 HIS327710 HSO327710 ICK327710 IMG327710 IWC327710 JFY327710 JPU327710 JZQ327710 KJM327710 KTI327710 LDE327710 LNA327710 LWW327710 MGS327710 MQO327710 NAK327710 NKG327710 NUC327710 ODY327710 ONU327710 OXQ327710 PHM327710 PRI327710 QBE327710 QLA327710 QUW327710 RES327710 ROO327710 RYK327710 SIG327710 SSC327710 TBY327710 TLU327710 TVQ327710 UFM327710 UPI327710 UZE327710 VJA327710 VSW327710 WCS327710 WMO327710 SSC983070 JY393246 TU393246 ADQ393246 ANM393246 AXI393246 BHE393246 BRA393246 CAW393246 CKS393246 CUO393246 DEK393246 DOG393246 DYC393246 EHY393246 ERU393246 FBQ393246 FLM393246 FVI393246 GFE393246 GPA393246 GYW393246 HIS393246 HSO393246 ICK393246 IMG393246 IWC393246 JFY393246 JPU393246 JZQ393246 KJM393246 KTI393246 LDE393246 LNA393246 LWW393246 MGS393246 MQO393246 NAK393246 NKG393246 NUC393246 ODY393246 ONU393246 OXQ393246 PHM393246 PRI393246 QBE393246 QLA393246 QUW393246 RES393246 ROO393246 RYK393246 SIG393246 SSC393246 TBY393246 TLU393246 TVQ393246 UFM393246 UPI393246 UZE393246 VJA393246 VSW393246 WCS393246 WMO393246 TBY983070 JY458782 TU458782 ADQ458782 ANM458782 AXI458782 BHE458782 BRA458782 CAW458782 CKS458782 CUO458782 DEK458782 DOG458782 DYC458782 EHY458782 ERU458782 FBQ458782 FLM458782 FVI458782 GFE458782 GPA458782 GYW458782 HIS458782 HSO458782 ICK458782 IMG458782 IWC458782 JFY458782 JPU458782 JZQ458782 KJM458782 KTI458782 LDE458782 LNA458782 LWW458782 MGS458782 MQO458782 NAK458782 NKG458782 NUC458782 ODY458782 ONU458782 OXQ458782 PHM458782 PRI458782 QBE458782 QLA458782 QUW458782 RES458782 ROO458782 RYK458782 SIG458782 SSC458782 TBY458782 TLU458782 TVQ458782 UFM458782 UPI458782 UZE458782 VJA458782 VSW458782 WCS458782 WMO458782 TLU983070 JY524318 TU524318 ADQ524318 ANM524318 AXI524318 BHE524318 BRA524318 CAW524318 CKS524318 CUO524318 DEK524318 DOG524318 DYC524318 EHY524318 ERU524318 FBQ524318 FLM524318 FVI524318 GFE524318 GPA524318 GYW524318 HIS524318 HSO524318 ICK524318 IMG524318 IWC524318 JFY524318 JPU524318 JZQ524318 KJM524318 KTI524318 LDE524318 LNA524318 LWW524318 MGS524318 MQO524318 NAK524318 NKG524318 NUC524318 ODY524318 ONU524318 OXQ524318 PHM524318 PRI524318 QBE524318 QLA524318 QUW524318 RES524318 ROO524318 RYK524318 SIG524318 SSC524318 TBY524318 TLU524318 TVQ524318 UFM524318 UPI524318 UZE524318 VJA524318 VSW524318 WCS524318 WMO524318 TVQ983070 JY589854 TU589854 ADQ589854 ANM589854 AXI589854 BHE589854 BRA589854 CAW589854 CKS589854 CUO589854 DEK589854 DOG589854 DYC589854 EHY589854 ERU589854 FBQ589854 FLM589854 FVI589854 GFE589854 GPA589854 GYW589854 HIS589854 HSO589854 ICK589854 IMG589854 IWC589854 JFY589854 JPU589854 JZQ589854 KJM589854 KTI589854 LDE589854 LNA589854 LWW589854 MGS589854 MQO589854 NAK589854 NKG589854 NUC589854 ODY589854 ONU589854 OXQ589854 PHM589854 PRI589854 QBE589854 QLA589854 QUW589854 RES589854 ROO589854 RYK589854 SIG589854 SSC589854 TBY589854 TLU589854 TVQ589854 UFM589854 UPI589854 UZE589854 VJA589854 VSW589854 WCS589854 WMO589854 UFM983070 JY655390 TU655390 ADQ655390 ANM655390 AXI655390 BHE655390 BRA655390 CAW655390 CKS655390 CUO655390 DEK655390 DOG655390 DYC655390 EHY655390 ERU655390 FBQ655390 FLM655390 FVI655390 GFE655390 GPA655390 GYW655390 HIS655390 HSO655390 ICK655390 IMG655390 IWC655390 JFY655390 JPU655390 JZQ655390 KJM655390 KTI655390 LDE655390 LNA655390 LWW655390 MGS655390 MQO655390 NAK655390 NKG655390 NUC655390 ODY655390 ONU655390 OXQ655390 PHM655390 PRI655390 QBE655390 QLA655390 QUW655390 RES655390 ROO655390 RYK655390 SIG655390 SSC655390 TBY655390 TLU655390 TVQ655390 UFM655390 UPI655390 UZE655390 VJA655390 VSW655390 WCS655390 WMO655390 UPI983070 JY720926 TU720926 ADQ720926 ANM720926 AXI720926 BHE720926 BRA720926 CAW720926 CKS720926 CUO720926 DEK720926 DOG720926 DYC720926 EHY720926 ERU720926 FBQ720926 FLM720926 FVI720926 GFE720926 GPA720926 GYW720926 HIS720926 HSO720926 ICK720926 IMG720926 IWC720926 JFY720926 JPU720926 JZQ720926 KJM720926 KTI720926 LDE720926 LNA720926 LWW720926 MGS720926 MQO720926 NAK720926 NKG720926 NUC720926 ODY720926 ONU720926 OXQ720926 PHM720926 PRI720926 QBE720926 QLA720926 QUW720926 RES720926 ROO720926 RYK720926 SIG720926 SSC720926 TBY720926 TLU720926 TVQ720926 UFM720926 UPI720926 UZE720926 VJA720926 VSW720926 WCS720926 WMO720926 UZE983070 JY786462 TU786462 ADQ786462 ANM786462 AXI786462 BHE786462 BRA786462 CAW786462 CKS786462 CUO786462 DEK786462 DOG786462 DYC786462 EHY786462 ERU786462 FBQ786462 FLM786462 FVI786462 GFE786462 GPA786462 GYW786462 HIS786462 HSO786462 ICK786462 IMG786462 IWC786462 JFY786462 JPU786462 JZQ786462 KJM786462 KTI786462 LDE786462 LNA786462 LWW786462 MGS786462 MQO786462 NAK786462 NKG786462 NUC786462 ODY786462 ONU786462 OXQ786462 PHM786462 PRI786462 QBE786462 QLA786462 QUW786462 RES786462 ROO786462 RYK786462 SIG786462 SSC786462 TBY786462 TLU786462 TVQ786462 UFM786462 UPI786462 UZE786462 VJA786462 VSW786462 WCS786462 WMO786462 VJA983070 JY851998 TU851998 ADQ851998 ANM851998 AXI851998 BHE851998 BRA851998 CAW851998 CKS851998 CUO851998 DEK851998 DOG851998 DYC851998 EHY851998 ERU851998 FBQ851998 FLM851998 FVI851998 GFE851998 GPA851998 GYW851998 HIS851998 HSO851998 ICK851998 IMG851998 IWC851998 JFY851998 JPU851998 JZQ851998 KJM851998 KTI851998 LDE851998 LNA851998 LWW851998 MGS851998 MQO851998 NAK851998 NKG851998 NUC851998 ODY851998 ONU851998 OXQ851998 PHM851998 PRI851998 QBE851998 QLA851998 QUW851998 RES851998 ROO851998 RYK851998 SIG851998 SSC851998 TBY851998 TLU851998 TVQ851998 UFM851998 UPI851998 UZE851998 VJA851998 VSW851998 WCS851998 WMO851998 VSW983070 JY917534 TU917534 ADQ917534 ANM917534 AXI917534 BHE917534 BRA917534 CAW917534 CKS917534 CUO917534 DEK917534 DOG917534 DYC917534 EHY917534 ERU917534 FBQ917534 FLM917534 FVI917534 GFE917534 GPA917534 GYW917534 HIS917534 HSO917534 ICK917534 IMG917534 IWC917534 JFY917534 JPU917534 JZQ917534 KJM917534 KTI917534 LDE917534 LNA917534 LWW917534 MGS917534 MQO917534 NAK917534 NKG917534 NUC917534 ODY917534 ONU917534 OXQ917534 PHM917534 PRI917534 QBE917534 QLA917534 QUW917534 RES917534 ROO917534 RYK917534 SIG917534 SSC917534 TBY917534 TLU917534 TVQ917534 UFM917534 UPI917534 UZE917534 VJA917534 VSW917534 WCS917534 WMO917534 WCS983070 JY983070 TU983070 ADQ983070 ANM983070 AXI983070 BHE983070 BRA983070 CAW983070 CKS983070 CUO983070 DEK983070 DOG983070 DYC983070 EHY983070 ERU983070 FBQ983070 FLM983070 FVI983070 GFE983070 GPA983070 GYW983070 HIS983070 HSO983070 ICK983070 IMG983070 IWC983070 JFY983070 JPU983070 JZQ983070 KJM983070 KTI983070 LDE983070 LNA983070 LWW983070 MGS983070 MQO983070 NAK983070 NKG983070 NUC983070 ODY983070 ONU983070 OXQ983070 PHM983070 PRI983070 QBE983070 QLA983070 C131102 C196638 C262174 C327710 C393246 C458782 C524318 C589854 C655390 C720926 C786462 C851998 C917534 C983070 A983070 A917534 A851998 A786462 A720926 A655390 A589854 A524318 A458782 A393246 A327710 A262174 A196638 A131102 A65566 C65566"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G983074:WNG983103 AU65570:AU65599 KQ65570:KQ65599 UM65570:UM65599 AEI65570:AEI65599 AOE65570:AOE65599 AYA65570:AYA65599 BHW65570:BHW65599 BRS65570:BRS65599 CBO65570:CBO65599 CLK65570:CLK65599 CVG65570:CVG65599 DFC65570:DFC65599 DOY65570:DOY65599 DYU65570:DYU65599 EIQ65570:EIQ65599 ESM65570:ESM65599 FCI65570:FCI65599 FME65570:FME65599 FWA65570:FWA65599 GFW65570:GFW65599 GPS65570:GPS65599 GZO65570:GZO65599 HJK65570:HJK65599 HTG65570:HTG65599 IDC65570:IDC65599 IMY65570:IMY65599 IWU65570:IWU65599 JGQ65570:JGQ65599 JQM65570:JQM65599 KAI65570:KAI65599 KKE65570:KKE65599 KUA65570:KUA65599 LDW65570:LDW65599 LNS65570:LNS65599 LXO65570:LXO65599 MHK65570:MHK65599 MRG65570:MRG65599 NBC65570:NBC65599 NKY65570:NKY65599 NUU65570:NUU65599 OEQ65570:OEQ65599 OOM65570:OOM65599 OYI65570:OYI65599 PIE65570:PIE65599 PSA65570:PSA65599 QBW65570:QBW65599 QLS65570:QLS65599 QVO65570:QVO65599 RFK65570:RFK65599 RPG65570:RPG65599 RZC65570:RZC65599 SIY65570:SIY65599 SSU65570:SSU65599 TCQ65570:TCQ65599 TMM65570:TMM65599 TWI65570:TWI65599 UGE65570:UGE65599 UQA65570:UQA65599 UZW65570:UZW65599 VJS65570:VJS65599 VTO65570:VTO65599 WDK65570:WDK65599 WNG65570:WNG65599 AU131106:AU131135 KQ131106:KQ131135 UM131106:UM131135 AEI131106:AEI131135 AOE131106:AOE131135 AYA131106:AYA131135 BHW131106:BHW131135 BRS131106:BRS131135 CBO131106:CBO131135 CLK131106:CLK131135 CVG131106:CVG131135 DFC131106:DFC131135 DOY131106:DOY131135 DYU131106:DYU131135 EIQ131106:EIQ131135 ESM131106:ESM131135 FCI131106:FCI131135 FME131106:FME131135 FWA131106:FWA131135 GFW131106:GFW131135 GPS131106:GPS131135 GZO131106:GZO131135 HJK131106:HJK131135 HTG131106:HTG131135 IDC131106:IDC131135 IMY131106:IMY131135 IWU131106:IWU131135 JGQ131106:JGQ131135 JQM131106:JQM131135 KAI131106:KAI131135 KKE131106:KKE131135 KUA131106:KUA131135 LDW131106:LDW131135 LNS131106:LNS131135 LXO131106:LXO131135 MHK131106:MHK131135 MRG131106:MRG131135 NBC131106:NBC131135 NKY131106:NKY131135 NUU131106:NUU131135 OEQ131106:OEQ131135 OOM131106:OOM131135 OYI131106:OYI131135 PIE131106:PIE131135 PSA131106:PSA131135 QBW131106:QBW131135 QLS131106:QLS131135 QVO131106:QVO131135 RFK131106:RFK131135 RPG131106:RPG131135 RZC131106:RZC131135 SIY131106:SIY131135 SSU131106:SSU131135 TCQ131106:TCQ131135 TMM131106:TMM131135 TWI131106:TWI131135 UGE131106:UGE131135 UQA131106:UQA131135 UZW131106:UZW131135 VJS131106:VJS131135 VTO131106:VTO131135 WDK131106:WDK131135 WNG131106:WNG131135 AU196642:AU196671 KQ196642:KQ196671 UM196642:UM196671 AEI196642:AEI196671 AOE196642:AOE196671 AYA196642:AYA196671 BHW196642:BHW196671 BRS196642:BRS196671 CBO196642:CBO196671 CLK196642:CLK196671 CVG196642:CVG196671 DFC196642:DFC196671 DOY196642:DOY196671 DYU196642:DYU196671 EIQ196642:EIQ196671 ESM196642:ESM196671 FCI196642:FCI196671 FME196642:FME196671 FWA196642:FWA196671 GFW196642:GFW196671 GPS196642:GPS196671 GZO196642:GZO196671 HJK196642:HJK196671 HTG196642:HTG196671 IDC196642:IDC196671 IMY196642:IMY196671 IWU196642:IWU196671 JGQ196642:JGQ196671 JQM196642:JQM196671 KAI196642:KAI196671 KKE196642:KKE196671 KUA196642:KUA196671 LDW196642:LDW196671 LNS196642:LNS196671 LXO196642:LXO196671 MHK196642:MHK196671 MRG196642:MRG196671 NBC196642:NBC196671 NKY196642:NKY196671 NUU196642:NUU196671 OEQ196642:OEQ196671 OOM196642:OOM196671 OYI196642:OYI196671 PIE196642:PIE196671 PSA196642:PSA196671 QBW196642:QBW196671 QLS196642:QLS196671 QVO196642:QVO196671 RFK196642:RFK196671 RPG196642:RPG196671 RZC196642:RZC196671 SIY196642:SIY196671 SSU196642:SSU196671 TCQ196642:TCQ196671 TMM196642:TMM196671 TWI196642:TWI196671 UGE196642:UGE196671 UQA196642:UQA196671 UZW196642:UZW196671 VJS196642:VJS196671 VTO196642:VTO196671 WDK196642:WDK196671 WNG196642:WNG196671 AU262178:AU262207 KQ262178:KQ262207 UM262178:UM262207 AEI262178:AEI262207 AOE262178:AOE262207 AYA262178:AYA262207 BHW262178:BHW262207 BRS262178:BRS262207 CBO262178:CBO262207 CLK262178:CLK262207 CVG262178:CVG262207 DFC262178:DFC262207 DOY262178:DOY262207 DYU262178:DYU262207 EIQ262178:EIQ262207 ESM262178:ESM262207 FCI262178:FCI262207 FME262178:FME262207 FWA262178:FWA262207 GFW262178:GFW262207 GPS262178:GPS262207 GZO262178:GZO262207 HJK262178:HJK262207 HTG262178:HTG262207 IDC262178:IDC262207 IMY262178:IMY262207 IWU262178:IWU262207 JGQ262178:JGQ262207 JQM262178:JQM262207 KAI262178:KAI262207 KKE262178:KKE262207 KUA262178:KUA262207 LDW262178:LDW262207 LNS262178:LNS262207 LXO262178:LXO262207 MHK262178:MHK262207 MRG262178:MRG262207 NBC262178:NBC262207 NKY262178:NKY262207 NUU262178:NUU262207 OEQ262178:OEQ262207 OOM262178:OOM262207 OYI262178:OYI262207 PIE262178:PIE262207 PSA262178:PSA262207 QBW262178:QBW262207 QLS262178:QLS262207 QVO262178:QVO262207 RFK262178:RFK262207 RPG262178:RPG262207 RZC262178:RZC262207 SIY262178:SIY262207 SSU262178:SSU262207 TCQ262178:TCQ262207 TMM262178:TMM262207 TWI262178:TWI262207 UGE262178:UGE262207 UQA262178:UQA262207 UZW262178:UZW262207 VJS262178:VJS262207 VTO262178:VTO262207 WDK262178:WDK262207 WNG262178:WNG262207 AU327714:AU327743 KQ327714:KQ327743 UM327714:UM327743 AEI327714:AEI327743 AOE327714:AOE327743 AYA327714:AYA327743 BHW327714:BHW327743 BRS327714:BRS327743 CBO327714:CBO327743 CLK327714:CLK327743 CVG327714:CVG327743 DFC327714:DFC327743 DOY327714:DOY327743 DYU327714:DYU327743 EIQ327714:EIQ327743 ESM327714:ESM327743 FCI327714:FCI327743 FME327714:FME327743 FWA327714:FWA327743 GFW327714:GFW327743 GPS327714:GPS327743 GZO327714:GZO327743 HJK327714:HJK327743 HTG327714:HTG327743 IDC327714:IDC327743 IMY327714:IMY327743 IWU327714:IWU327743 JGQ327714:JGQ327743 JQM327714:JQM327743 KAI327714:KAI327743 KKE327714:KKE327743 KUA327714:KUA327743 LDW327714:LDW327743 LNS327714:LNS327743 LXO327714:LXO327743 MHK327714:MHK327743 MRG327714:MRG327743 NBC327714:NBC327743 NKY327714:NKY327743 NUU327714:NUU327743 OEQ327714:OEQ327743 OOM327714:OOM327743 OYI327714:OYI327743 PIE327714:PIE327743 PSA327714:PSA327743 QBW327714:QBW327743 QLS327714:QLS327743 QVO327714:QVO327743 RFK327714:RFK327743 RPG327714:RPG327743 RZC327714:RZC327743 SIY327714:SIY327743 SSU327714:SSU327743 TCQ327714:TCQ327743 TMM327714:TMM327743 TWI327714:TWI327743 UGE327714:UGE327743 UQA327714:UQA327743 UZW327714:UZW327743 VJS327714:VJS327743 VTO327714:VTO327743 WDK327714:WDK327743 WNG327714:WNG327743 AU393250:AU393279 KQ393250:KQ393279 UM393250:UM393279 AEI393250:AEI393279 AOE393250:AOE393279 AYA393250:AYA393279 BHW393250:BHW393279 BRS393250:BRS393279 CBO393250:CBO393279 CLK393250:CLK393279 CVG393250:CVG393279 DFC393250:DFC393279 DOY393250:DOY393279 DYU393250:DYU393279 EIQ393250:EIQ393279 ESM393250:ESM393279 FCI393250:FCI393279 FME393250:FME393279 FWA393250:FWA393279 GFW393250:GFW393279 GPS393250:GPS393279 GZO393250:GZO393279 HJK393250:HJK393279 HTG393250:HTG393279 IDC393250:IDC393279 IMY393250:IMY393279 IWU393250:IWU393279 JGQ393250:JGQ393279 JQM393250:JQM393279 KAI393250:KAI393279 KKE393250:KKE393279 KUA393250:KUA393279 LDW393250:LDW393279 LNS393250:LNS393279 LXO393250:LXO393279 MHK393250:MHK393279 MRG393250:MRG393279 NBC393250:NBC393279 NKY393250:NKY393279 NUU393250:NUU393279 OEQ393250:OEQ393279 OOM393250:OOM393279 OYI393250:OYI393279 PIE393250:PIE393279 PSA393250:PSA393279 QBW393250:QBW393279 QLS393250:QLS393279 QVO393250:QVO393279 RFK393250:RFK393279 RPG393250:RPG393279 RZC393250:RZC393279 SIY393250:SIY393279 SSU393250:SSU393279 TCQ393250:TCQ393279 TMM393250:TMM393279 TWI393250:TWI393279 UGE393250:UGE393279 UQA393250:UQA393279 UZW393250:UZW393279 VJS393250:VJS393279 VTO393250:VTO393279 WDK393250:WDK393279 WNG393250:WNG393279 AU458786:AU458815 KQ458786:KQ458815 UM458786:UM458815 AEI458786:AEI458815 AOE458786:AOE458815 AYA458786:AYA458815 BHW458786:BHW458815 BRS458786:BRS458815 CBO458786:CBO458815 CLK458786:CLK458815 CVG458786:CVG458815 DFC458786:DFC458815 DOY458786:DOY458815 DYU458786:DYU458815 EIQ458786:EIQ458815 ESM458786:ESM458815 FCI458786:FCI458815 FME458786:FME458815 FWA458786:FWA458815 GFW458786:GFW458815 GPS458786:GPS458815 GZO458786:GZO458815 HJK458786:HJK458815 HTG458786:HTG458815 IDC458786:IDC458815 IMY458786:IMY458815 IWU458786:IWU458815 JGQ458786:JGQ458815 JQM458786:JQM458815 KAI458786:KAI458815 KKE458786:KKE458815 KUA458786:KUA458815 LDW458786:LDW458815 LNS458786:LNS458815 LXO458786:LXO458815 MHK458786:MHK458815 MRG458786:MRG458815 NBC458786:NBC458815 NKY458786:NKY458815 NUU458786:NUU458815 OEQ458786:OEQ458815 OOM458786:OOM458815 OYI458786:OYI458815 PIE458786:PIE458815 PSA458786:PSA458815 QBW458786:QBW458815 QLS458786:QLS458815 QVO458786:QVO458815 RFK458786:RFK458815 RPG458786:RPG458815 RZC458786:RZC458815 SIY458786:SIY458815 SSU458786:SSU458815 TCQ458786:TCQ458815 TMM458786:TMM458815 TWI458786:TWI458815 UGE458786:UGE458815 UQA458786:UQA458815 UZW458786:UZW458815 VJS458786:VJS458815 VTO458786:VTO458815 WDK458786:WDK458815 WNG458786:WNG458815 AU524322:AU524351 KQ524322:KQ524351 UM524322:UM524351 AEI524322:AEI524351 AOE524322:AOE524351 AYA524322:AYA524351 BHW524322:BHW524351 BRS524322:BRS524351 CBO524322:CBO524351 CLK524322:CLK524351 CVG524322:CVG524351 DFC524322:DFC524351 DOY524322:DOY524351 DYU524322:DYU524351 EIQ524322:EIQ524351 ESM524322:ESM524351 FCI524322:FCI524351 FME524322:FME524351 FWA524322:FWA524351 GFW524322:GFW524351 GPS524322:GPS524351 GZO524322:GZO524351 HJK524322:HJK524351 HTG524322:HTG524351 IDC524322:IDC524351 IMY524322:IMY524351 IWU524322:IWU524351 JGQ524322:JGQ524351 JQM524322:JQM524351 KAI524322:KAI524351 KKE524322:KKE524351 KUA524322:KUA524351 LDW524322:LDW524351 LNS524322:LNS524351 LXO524322:LXO524351 MHK524322:MHK524351 MRG524322:MRG524351 NBC524322:NBC524351 NKY524322:NKY524351 NUU524322:NUU524351 OEQ524322:OEQ524351 OOM524322:OOM524351 OYI524322:OYI524351 PIE524322:PIE524351 PSA524322:PSA524351 QBW524322:QBW524351 QLS524322:QLS524351 QVO524322:QVO524351 RFK524322:RFK524351 RPG524322:RPG524351 RZC524322:RZC524351 SIY524322:SIY524351 SSU524322:SSU524351 TCQ524322:TCQ524351 TMM524322:TMM524351 TWI524322:TWI524351 UGE524322:UGE524351 UQA524322:UQA524351 UZW524322:UZW524351 VJS524322:VJS524351 VTO524322:VTO524351 WDK524322:WDK524351 WNG524322:WNG524351 AU589858:AU589887 KQ589858:KQ589887 UM589858:UM589887 AEI589858:AEI589887 AOE589858:AOE589887 AYA589858:AYA589887 BHW589858:BHW589887 BRS589858:BRS589887 CBO589858:CBO589887 CLK589858:CLK589887 CVG589858:CVG589887 DFC589858:DFC589887 DOY589858:DOY589887 DYU589858:DYU589887 EIQ589858:EIQ589887 ESM589858:ESM589887 FCI589858:FCI589887 FME589858:FME589887 FWA589858:FWA589887 GFW589858:GFW589887 GPS589858:GPS589887 GZO589858:GZO589887 HJK589858:HJK589887 HTG589858:HTG589887 IDC589858:IDC589887 IMY589858:IMY589887 IWU589858:IWU589887 JGQ589858:JGQ589887 JQM589858:JQM589887 KAI589858:KAI589887 KKE589858:KKE589887 KUA589858:KUA589887 LDW589858:LDW589887 LNS589858:LNS589887 LXO589858:LXO589887 MHK589858:MHK589887 MRG589858:MRG589887 NBC589858:NBC589887 NKY589858:NKY589887 NUU589858:NUU589887 OEQ589858:OEQ589887 OOM589858:OOM589887 OYI589858:OYI589887 PIE589858:PIE589887 PSA589858:PSA589887 QBW589858:QBW589887 QLS589858:QLS589887 QVO589858:QVO589887 RFK589858:RFK589887 RPG589858:RPG589887 RZC589858:RZC589887 SIY589858:SIY589887 SSU589858:SSU589887 TCQ589858:TCQ589887 TMM589858:TMM589887 TWI589858:TWI589887 UGE589858:UGE589887 UQA589858:UQA589887 UZW589858:UZW589887 VJS589858:VJS589887 VTO589858:VTO589887 WDK589858:WDK589887 WNG589858:WNG589887 AU655394:AU655423 KQ655394:KQ655423 UM655394:UM655423 AEI655394:AEI655423 AOE655394:AOE655423 AYA655394:AYA655423 BHW655394:BHW655423 BRS655394:BRS655423 CBO655394:CBO655423 CLK655394:CLK655423 CVG655394:CVG655423 DFC655394:DFC655423 DOY655394:DOY655423 DYU655394:DYU655423 EIQ655394:EIQ655423 ESM655394:ESM655423 FCI655394:FCI655423 FME655394:FME655423 FWA655394:FWA655423 GFW655394:GFW655423 GPS655394:GPS655423 GZO655394:GZO655423 HJK655394:HJK655423 HTG655394:HTG655423 IDC655394:IDC655423 IMY655394:IMY655423 IWU655394:IWU655423 JGQ655394:JGQ655423 JQM655394:JQM655423 KAI655394:KAI655423 KKE655394:KKE655423 KUA655394:KUA655423 LDW655394:LDW655423 LNS655394:LNS655423 LXO655394:LXO655423 MHK655394:MHK655423 MRG655394:MRG655423 NBC655394:NBC655423 NKY655394:NKY655423 NUU655394:NUU655423 OEQ655394:OEQ655423 OOM655394:OOM655423 OYI655394:OYI655423 PIE655394:PIE655423 PSA655394:PSA655423 QBW655394:QBW655423 QLS655394:QLS655423 QVO655394:QVO655423 RFK655394:RFK655423 RPG655394:RPG655423 RZC655394:RZC655423 SIY655394:SIY655423 SSU655394:SSU655423 TCQ655394:TCQ655423 TMM655394:TMM655423 TWI655394:TWI655423 UGE655394:UGE655423 UQA655394:UQA655423 UZW655394:UZW655423 VJS655394:VJS655423 VTO655394:VTO655423 WDK655394:WDK655423 WNG655394:WNG655423 AU720930:AU720959 KQ720930:KQ720959 UM720930:UM720959 AEI720930:AEI720959 AOE720930:AOE720959 AYA720930:AYA720959 BHW720930:BHW720959 BRS720930:BRS720959 CBO720930:CBO720959 CLK720930:CLK720959 CVG720930:CVG720959 DFC720930:DFC720959 DOY720930:DOY720959 DYU720930:DYU720959 EIQ720930:EIQ720959 ESM720930:ESM720959 FCI720930:FCI720959 FME720930:FME720959 FWA720930:FWA720959 GFW720930:GFW720959 GPS720930:GPS720959 GZO720930:GZO720959 HJK720930:HJK720959 HTG720930:HTG720959 IDC720930:IDC720959 IMY720930:IMY720959 IWU720930:IWU720959 JGQ720930:JGQ720959 JQM720930:JQM720959 KAI720930:KAI720959 KKE720930:KKE720959 KUA720930:KUA720959 LDW720930:LDW720959 LNS720930:LNS720959 LXO720930:LXO720959 MHK720930:MHK720959 MRG720930:MRG720959 NBC720930:NBC720959 NKY720930:NKY720959 NUU720930:NUU720959 OEQ720930:OEQ720959 OOM720930:OOM720959 OYI720930:OYI720959 PIE720930:PIE720959 PSA720930:PSA720959 QBW720930:QBW720959 QLS720930:QLS720959 QVO720930:QVO720959 RFK720930:RFK720959 RPG720930:RPG720959 RZC720930:RZC720959 SIY720930:SIY720959 SSU720930:SSU720959 TCQ720930:TCQ720959 TMM720930:TMM720959 TWI720930:TWI720959 UGE720930:UGE720959 UQA720930:UQA720959 UZW720930:UZW720959 VJS720930:VJS720959 VTO720930:VTO720959 WDK720930:WDK720959 WNG720930:WNG720959 AU786466:AU786495 KQ786466:KQ786495 UM786466:UM786495 AEI786466:AEI786495 AOE786466:AOE786495 AYA786466:AYA786495 BHW786466:BHW786495 BRS786466:BRS786495 CBO786466:CBO786495 CLK786466:CLK786495 CVG786466:CVG786495 DFC786466:DFC786495 DOY786466:DOY786495 DYU786466:DYU786495 EIQ786466:EIQ786495 ESM786466:ESM786495 FCI786466:FCI786495 FME786466:FME786495 FWA786466:FWA786495 GFW786466:GFW786495 GPS786466:GPS786495 GZO786466:GZO786495 HJK786466:HJK786495 HTG786466:HTG786495 IDC786466:IDC786495 IMY786466:IMY786495 IWU786466:IWU786495 JGQ786466:JGQ786495 JQM786466:JQM786495 KAI786466:KAI786495 KKE786466:KKE786495 KUA786466:KUA786495 LDW786466:LDW786495 LNS786466:LNS786495 LXO786466:LXO786495 MHK786466:MHK786495 MRG786466:MRG786495 NBC786466:NBC786495 NKY786466:NKY786495 NUU786466:NUU786495 OEQ786466:OEQ786495 OOM786466:OOM786495 OYI786466:OYI786495 PIE786466:PIE786495 PSA786466:PSA786495 QBW786466:QBW786495 QLS786466:QLS786495 QVO786466:QVO786495 RFK786466:RFK786495 RPG786466:RPG786495 RZC786466:RZC786495 SIY786466:SIY786495 SSU786466:SSU786495 TCQ786466:TCQ786495 TMM786466:TMM786495 TWI786466:TWI786495 UGE786466:UGE786495 UQA786466:UQA786495 UZW786466:UZW786495 VJS786466:VJS786495 VTO786466:VTO786495 WDK786466:WDK786495 WNG786466:WNG786495 AU852002:AU852031 KQ852002:KQ852031 UM852002:UM852031 AEI852002:AEI852031 AOE852002:AOE852031 AYA852002:AYA852031 BHW852002:BHW852031 BRS852002:BRS852031 CBO852002:CBO852031 CLK852002:CLK852031 CVG852002:CVG852031 DFC852002:DFC852031 DOY852002:DOY852031 DYU852002:DYU852031 EIQ852002:EIQ852031 ESM852002:ESM852031 FCI852002:FCI852031 FME852002:FME852031 FWA852002:FWA852031 GFW852002:GFW852031 GPS852002:GPS852031 GZO852002:GZO852031 HJK852002:HJK852031 HTG852002:HTG852031 IDC852002:IDC852031 IMY852002:IMY852031 IWU852002:IWU852031 JGQ852002:JGQ852031 JQM852002:JQM852031 KAI852002:KAI852031 KKE852002:KKE852031 KUA852002:KUA852031 LDW852002:LDW852031 LNS852002:LNS852031 LXO852002:LXO852031 MHK852002:MHK852031 MRG852002:MRG852031 NBC852002:NBC852031 NKY852002:NKY852031 NUU852002:NUU852031 OEQ852002:OEQ852031 OOM852002:OOM852031 OYI852002:OYI852031 PIE852002:PIE852031 PSA852002:PSA852031 QBW852002:QBW852031 QLS852002:QLS852031 QVO852002:QVO852031 RFK852002:RFK852031 RPG852002:RPG852031 RZC852002:RZC852031 SIY852002:SIY852031 SSU852002:SSU852031 TCQ852002:TCQ852031 TMM852002:TMM852031 TWI852002:TWI852031 UGE852002:UGE852031 UQA852002:UQA852031 UZW852002:UZW852031 VJS852002:VJS852031 VTO852002:VTO852031 WDK852002:WDK852031 WNG852002:WNG852031 AU917538:AU917567 KQ917538:KQ917567 UM917538:UM917567 AEI917538:AEI917567 AOE917538:AOE917567 AYA917538:AYA917567 BHW917538:BHW917567 BRS917538:BRS917567 CBO917538:CBO917567 CLK917538:CLK917567 CVG917538:CVG917567 DFC917538:DFC917567 DOY917538:DOY917567 DYU917538:DYU917567 EIQ917538:EIQ917567 ESM917538:ESM917567 FCI917538:FCI917567 FME917538:FME917567 FWA917538:FWA917567 GFW917538:GFW917567 GPS917538:GPS917567 GZO917538:GZO917567 HJK917538:HJK917567 HTG917538:HTG917567 IDC917538:IDC917567 IMY917538:IMY917567 IWU917538:IWU917567 JGQ917538:JGQ917567 JQM917538:JQM917567 KAI917538:KAI917567 KKE917538:KKE917567 KUA917538:KUA917567 LDW917538:LDW917567 LNS917538:LNS917567 LXO917538:LXO917567 MHK917538:MHK917567 MRG917538:MRG917567 NBC917538:NBC917567 NKY917538:NKY917567 NUU917538:NUU917567 OEQ917538:OEQ917567 OOM917538:OOM917567 OYI917538:OYI917567 PIE917538:PIE917567 PSA917538:PSA917567 QBW917538:QBW917567 QLS917538:QLS917567 QVO917538:QVO917567 RFK917538:RFK917567 RPG917538:RPG917567 RZC917538:RZC917567 SIY917538:SIY917567 SSU917538:SSU917567 TCQ917538:TCQ917567 TMM917538:TMM917567 TWI917538:TWI917567 UGE917538:UGE917567 UQA917538:UQA917567 UZW917538:UZW917567 VJS917538:VJS917567 VTO917538:VTO917567 WDK917538:WDK917567 WNG917538:WNG917567 AU983074:AU983103 KQ983074:KQ983103 UM983074:UM983103 AEI983074:AEI983103 AOE983074:AOE983103 AYA983074:AYA983103 BHW983074:BHW983103 BRS983074:BRS983103 CBO983074:CBO983103 CLK983074:CLK983103 CVG983074:CVG983103 DFC983074:DFC983103 DOY983074:DOY983103 DYU983074:DYU983103 EIQ983074:EIQ983103 ESM983074:ESM983103 FCI983074:FCI983103 FME983074:FME983103 FWA983074:FWA983103 GFW983074:GFW983103 GPS983074:GPS983103 GZO983074:GZO983103 HJK983074:HJK983103 HTG983074:HTG983103 IDC983074:IDC983103 IMY983074:IMY983103 IWU983074:IWU983103 JGQ983074:JGQ983103 JQM983074:JQM983103 KAI983074:KAI983103 KKE983074:KKE983103 KUA983074:KUA983103 LDW983074:LDW983103 LNS983074:LNS983103 LXO983074:LXO983103 MHK983074:MHK983103 MRG983074:MRG983103 NBC983074:NBC983103 NKY983074:NKY983103 NUU983074:NUU983103 OEQ983074:OEQ983103 OOM983074:OOM983103 OYI983074:OYI983103 PIE983074:PIE983103 PSA983074:PSA983103 QBW983074:QBW983103 QLS983074:QLS983103 QVO983074:QVO983103 RFK983074:RFK983103 RPG983074:RPG983103 RZC983074:RZC983103 SIY983074:SIY983103 SSU983074:SSU983103 TCQ983074:TCQ983103 TMM983074:TMM983103 TWI983074:TWI983103 UGE983074:UGE983103 UQA983074:UQA983103 UZW983074:UZW983103 VJS983074:VJS983103 VTO983074:VTO983103 WDK983074:WDK983103 UPW7:UPW66 UZS7:UZS66 VJO7:VJO66 WDG7:WDG66 WNC7:WNC66 VTK7:VTK66 AQ7:AQ66 KM7:KM66 UI7:UI66 AEE7:AEE66 AOA7:AOA66 AXW7:AXW66 BHS7:BHS66 BRO7:BRO66 CBK7:CBK66 CLG7:CLG66 CVC7:CVC66 DEY7:DEY66 DOU7:DOU66 DYQ7:DYQ66 EIM7:EIM66 ESI7:ESI66 FCE7:FCE66 FMA7:FMA66 FVW7:FVW66 GFS7:GFS66 GPO7:GPO66 GZK7:GZK66 HJG7:HJG66 HTC7:HTC66 ICY7:ICY66 IMU7:IMU66 IWQ7:IWQ66 JGM7:JGM66 JQI7:JQI66 KAE7:KAE66 KKA7:KKA66 KTW7:KTW66 LDS7:LDS66 LNO7:LNO66 LXK7:LXK66 MHG7:MHG66 MRC7:MRC66 NAY7:NAY66 NKU7:NKU66 NUQ7:NUQ66 OEM7:OEM66 OOI7:OOI66 OYE7:OYE66 PIA7:PIA66 PRW7:PRW66 QBS7:QBS66 QLO7:QLO66 QVK7:QVK66 RFG7:RFG66 RPC7:RPC66 RYY7:RYY66 SIU7:SIU66 SSQ7:SSQ66 TCM7:TCM66 TMI7:TMI66 TWE7:TWE66 UGA7:UGA66" xr:uid="{855F6B68-028B-4980-B22A-8A39AD64CF66}">
      <formula1>"สมเด็จ, มานพ, นิคม, คลองเตย,"</formula1>
    </dataValidation>
    <dataValidation type="list" allowBlank="1" showInputMessage="1" showErrorMessage="1" sqref="WNF983074:WNF983103 AT65570:AT65599 KP65570:KP65599 UL65570:UL65599 AEH65570:AEH65599 AOD65570:AOD65599 AXZ65570:AXZ65599 BHV65570:BHV65599 BRR65570:BRR65599 CBN65570:CBN65599 CLJ65570:CLJ65599 CVF65570:CVF65599 DFB65570:DFB65599 DOX65570:DOX65599 DYT65570:DYT65599 EIP65570:EIP65599 ESL65570:ESL65599 FCH65570:FCH65599 FMD65570:FMD65599 FVZ65570:FVZ65599 GFV65570:GFV65599 GPR65570:GPR65599 GZN65570:GZN65599 HJJ65570:HJJ65599 HTF65570:HTF65599 IDB65570:IDB65599 IMX65570:IMX65599 IWT65570:IWT65599 JGP65570:JGP65599 JQL65570:JQL65599 KAH65570:KAH65599 KKD65570:KKD65599 KTZ65570:KTZ65599 LDV65570:LDV65599 LNR65570:LNR65599 LXN65570:LXN65599 MHJ65570:MHJ65599 MRF65570:MRF65599 NBB65570:NBB65599 NKX65570:NKX65599 NUT65570:NUT65599 OEP65570:OEP65599 OOL65570:OOL65599 OYH65570:OYH65599 PID65570:PID65599 PRZ65570:PRZ65599 QBV65570:QBV65599 QLR65570:QLR65599 QVN65570:QVN65599 RFJ65570:RFJ65599 RPF65570:RPF65599 RZB65570:RZB65599 SIX65570:SIX65599 SST65570:SST65599 TCP65570:TCP65599 TML65570:TML65599 TWH65570:TWH65599 UGD65570:UGD65599 UPZ65570:UPZ65599 UZV65570:UZV65599 VJR65570:VJR65599 VTN65570:VTN65599 WDJ65570:WDJ65599 WNF65570:WNF65599 AT131106:AT131135 KP131106:KP131135 UL131106:UL131135 AEH131106:AEH131135 AOD131106:AOD131135 AXZ131106:AXZ131135 BHV131106:BHV131135 BRR131106:BRR131135 CBN131106:CBN131135 CLJ131106:CLJ131135 CVF131106:CVF131135 DFB131106:DFB131135 DOX131106:DOX131135 DYT131106:DYT131135 EIP131106:EIP131135 ESL131106:ESL131135 FCH131106:FCH131135 FMD131106:FMD131135 FVZ131106:FVZ131135 GFV131106:GFV131135 GPR131106:GPR131135 GZN131106:GZN131135 HJJ131106:HJJ131135 HTF131106:HTF131135 IDB131106:IDB131135 IMX131106:IMX131135 IWT131106:IWT131135 JGP131106:JGP131135 JQL131106:JQL131135 KAH131106:KAH131135 KKD131106:KKD131135 KTZ131106:KTZ131135 LDV131106:LDV131135 LNR131106:LNR131135 LXN131106:LXN131135 MHJ131106:MHJ131135 MRF131106:MRF131135 NBB131106:NBB131135 NKX131106:NKX131135 NUT131106:NUT131135 OEP131106:OEP131135 OOL131106:OOL131135 OYH131106:OYH131135 PID131106:PID131135 PRZ131106:PRZ131135 QBV131106:QBV131135 QLR131106:QLR131135 QVN131106:QVN131135 RFJ131106:RFJ131135 RPF131106:RPF131135 RZB131106:RZB131135 SIX131106:SIX131135 SST131106:SST131135 TCP131106:TCP131135 TML131106:TML131135 TWH131106:TWH131135 UGD131106:UGD131135 UPZ131106:UPZ131135 UZV131106:UZV131135 VJR131106:VJR131135 VTN131106:VTN131135 WDJ131106:WDJ131135 WNF131106:WNF131135 AT196642:AT196671 KP196642:KP196671 UL196642:UL196671 AEH196642:AEH196671 AOD196642:AOD196671 AXZ196642:AXZ196671 BHV196642:BHV196671 BRR196642:BRR196671 CBN196642:CBN196671 CLJ196642:CLJ196671 CVF196642:CVF196671 DFB196642:DFB196671 DOX196642:DOX196671 DYT196642:DYT196671 EIP196642:EIP196671 ESL196642:ESL196671 FCH196642:FCH196671 FMD196642:FMD196671 FVZ196642:FVZ196671 GFV196642:GFV196671 GPR196642:GPR196671 GZN196642:GZN196671 HJJ196642:HJJ196671 HTF196642:HTF196671 IDB196642:IDB196671 IMX196642:IMX196671 IWT196642:IWT196671 JGP196642:JGP196671 JQL196642:JQL196671 KAH196642:KAH196671 KKD196642:KKD196671 KTZ196642:KTZ196671 LDV196642:LDV196671 LNR196642:LNR196671 LXN196642:LXN196671 MHJ196642:MHJ196671 MRF196642:MRF196671 NBB196642:NBB196671 NKX196642:NKX196671 NUT196642:NUT196671 OEP196642:OEP196671 OOL196642:OOL196671 OYH196642:OYH196671 PID196642:PID196671 PRZ196642:PRZ196671 QBV196642:QBV196671 QLR196642:QLR196671 QVN196642:QVN196671 RFJ196642:RFJ196671 RPF196642:RPF196671 RZB196642:RZB196671 SIX196642:SIX196671 SST196642:SST196671 TCP196642:TCP196671 TML196642:TML196671 TWH196642:TWH196671 UGD196642:UGD196671 UPZ196642:UPZ196671 UZV196642:UZV196671 VJR196642:VJR196671 VTN196642:VTN196671 WDJ196642:WDJ196671 WNF196642:WNF196671 AT262178:AT262207 KP262178:KP262207 UL262178:UL262207 AEH262178:AEH262207 AOD262178:AOD262207 AXZ262178:AXZ262207 BHV262178:BHV262207 BRR262178:BRR262207 CBN262178:CBN262207 CLJ262178:CLJ262207 CVF262178:CVF262207 DFB262178:DFB262207 DOX262178:DOX262207 DYT262178:DYT262207 EIP262178:EIP262207 ESL262178:ESL262207 FCH262178:FCH262207 FMD262178:FMD262207 FVZ262178:FVZ262207 GFV262178:GFV262207 GPR262178:GPR262207 GZN262178:GZN262207 HJJ262178:HJJ262207 HTF262178:HTF262207 IDB262178:IDB262207 IMX262178:IMX262207 IWT262178:IWT262207 JGP262178:JGP262207 JQL262178:JQL262207 KAH262178:KAH262207 KKD262178:KKD262207 KTZ262178:KTZ262207 LDV262178:LDV262207 LNR262178:LNR262207 LXN262178:LXN262207 MHJ262178:MHJ262207 MRF262178:MRF262207 NBB262178:NBB262207 NKX262178:NKX262207 NUT262178:NUT262207 OEP262178:OEP262207 OOL262178:OOL262207 OYH262178:OYH262207 PID262178:PID262207 PRZ262178:PRZ262207 QBV262178:QBV262207 QLR262178:QLR262207 QVN262178:QVN262207 RFJ262178:RFJ262207 RPF262178:RPF262207 RZB262178:RZB262207 SIX262178:SIX262207 SST262178:SST262207 TCP262178:TCP262207 TML262178:TML262207 TWH262178:TWH262207 UGD262178:UGD262207 UPZ262178:UPZ262207 UZV262178:UZV262207 VJR262178:VJR262207 VTN262178:VTN262207 WDJ262178:WDJ262207 WNF262178:WNF262207 AT327714:AT327743 KP327714:KP327743 UL327714:UL327743 AEH327714:AEH327743 AOD327714:AOD327743 AXZ327714:AXZ327743 BHV327714:BHV327743 BRR327714:BRR327743 CBN327714:CBN327743 CLJ327714:CLJ327743 CVF327714:CVF327743 DFB327714:DFB327743 DOX327714:DOX327743 DYT327714:DYT327743 EIP327714:EIP327743 ESL327714:ESL327743 FCH327714:FCH327743 FMD327714:FMD327743 FVZ327714:FVZ327743 GFV327714:GFV327743 GPR327714:GPR327743 GZN327714:GZN327743 HJJ327714:HJJ327743 HTF327714:HTF327743 IDB327714:IDB327743 IMX327714:IMX327743 IWT327714:IWT327743 JGP327714:JGP327743 JQL327714:JQL327743 KAH327714:KAH327743 KKD327714:KKD327743 KTZ327714:KTZ327743 LDV327714:LDV327743 LNR327714:LNR327743 LXN327714:LXN327743 MHJ327714:MHJ327743 MRF327714:MRF327743 NBB327714:NBB327743 NKX327714:NKX327743 NUT327714:NUT327743 OEP327714:OEP327743 OOL327714:OOL327743 OYH327714:OYH327743 PID327714:PID327743 PRZ327714:PRZ327743 QBV327714:QBV327743 QLR327714:QLR327743 QVN327714:QVN327743 RFJ327714:RFJ327743 RPF327714:RPF327743 RZB327714:RZB327743 SIX327714:SIX327743 SST327714:SST327743 TCP327714:TCP327743 TML327714:TML327743 TWH327714:TWH327743 UGD327714:UGD327743 UPZ327714:UPZ327743 UZV327714:UZV327743 VJR327714:VJR327743 VTN327714:VTN327743 WDJ327714:WDJ327743 WNF327714:WNF327743 AT393250:AT393279 KP393250:KP393279 UL393250:UL393279 AEH393250:AEH393279 AOD393250:AOD393279 AXZ393250:AXZ393279 BHV393250:BHV393279 BRR393250:BRR393279 CBN393250:CBN393279 CLJ393250:CLJ393279 CVF393250:CVF393279 DFB393250:DFB393279 DOX393250:DOX393279 DYT393250:DYT393279 EIP393250:EIP393279 ESL393250:ESL393279 FCH393250:FCH393279 FMD393250:FMD393279 FVZ393250:FVZ393279 GFV393250:GFV393279 GPR393250:GPR393279 GZN393250:GZN393279 HJJ393250:HJJ393279 HTF393250:HTF393279 IDB393250:IDB393279 IMX393250:IMX393279 IWT393250:IWT393279 JGP393250:JGP393279 JQL393250:JQL393279 KAH393250:KAH393279 KKD393250:KKD393279 KTZ393250:KTZ393279 LDV393250:LDV393279 LNR393250:LNR393279 LXN393250:LXN393279 MHJ393250:MHJ393279 MRF393250:MRF393279 NBB393250:NBB393279 NKX393250:NKX393279 NUT393250:NUT393279 OEP393250:OEP393279 OOL393250:OOL393279 OYH393250:OYH393279 PID393250:PID393279 PRZ393250:PRZ393279 QBV393250:QBV393279 QLR393250:QLR393279 QVN393250:QVN393279 RFJ393250:RFJ393279 RPF393250:RPF393279 RZB393250:RZB393279 SIX393250:SIX393279 SST393250:SST393279 TCP393250:TCP393279 TML393250:TML393279 TWH393250:TWH393279 UGD393250:UGD393279 UPZ393250:UPZ393279 UZV393250:UZV393279 VJR393250:VJR393279 VTN393250:VTN393279 WDJ393250:WDJ393279 WNF393250:WNF393279 AT458786:AT458815 KP458786:KP458815 UL458786:UL458815 AEH458786:AEH458815 AOD458786:AOD458815 AXZ458786:AXZ458815 BHV458786:BHV458815 BRR458786:BRR458815 CBN458786:CBN458815 CLJ458786:CLJ458815 CVF458786:CVF458815 DFB458786:DFB458815 DOX458786:DOX458815 DYT458786:DYT458815 EIP458786:EIP458815 ESL458786:ESL458815 FCH458786:FCH458815 FMD458786:FMD458815 FVZ458786:FVZ458815 GFV458786:GFV458815 GPR458786:GPR458815 GZN458786:GZN458815 HJJ458786:HJJ458815 HTF458786:HTF458815 IDB458786:IDB458815 IMX458786:IMX458815 IWT458786:IWT458815 JGP458786:JGP458815 JQL458786:JQL458815 KAH458786:KAH458815 KKD458786:KKD458815 KTZ458786:KTZ458815 LDV458786:LDV458815 LNR458786:LNR458815 LXN458786:LXN458815 MHJ458786:MHJ458815 MRF458786:MRF458815 NBB458786:NBB458815 NKX458786:NKX458815 NUT458786:NUT458815 OEP458786:OEP458815 OOL458786:OOL458815 OYH458786:OYH458815 PID458786:PID458815 PRZ458786:PRZ458815 QBV458786:QBV458815 QLR458786:QLR458815 QVN458786:QVN458815 RFJ458786:RFJ458815 RPF458786:RPF458815 RZB458786:RZB458815 SIX458786:SIX458815 SST458786:SST458815 TCP458786:TCP458815 TML458786:TML458815 TWH458786:TWH458815 UGD458786:UGD458815 UPZ458786:UPZ458815 UZV458786:UZV458815 VJR458786:VJR458815 VTN458786:VTN458815 WDJ458786:WDJ458815 WNF458786:WNF458815 AT524322:AT524351 KP524322:KP524351 UL524322:UL524351 AEH524322:AEH524351 AOD524322:AOD524351 AXZ524322:AXZ524351 BHV524322:BHV524351 BRR524322:BRR524351 CBN524322:CBN524351 CLJ524322:CLJ524351 CVF524322:CVF524351 DFB524322:DFB524351 DOX524322:DOX524351 DYT524322:DYT524351 EIP524322:EIP524351 ESL524322:ESL524351 FCH524322:FCH524351 FMD524322:FMD524351 FVZ524322:FVZ524351 GFV524322:GFV524351 GPR524322:GPR524351 GZN524322:GZN524351 HJJ524322:HJJ524351 HTF524322:HTF524351 IDB524322:IDB524351 IMX524322:IMX524351 IWT524322:IWT524351 JGP524322:JGP524351 JQL524322:JQL524351 KAH524322:KAH524351 KKD524322:KKD524351 KTZ524322:KTZ524351 LDV524322:LDV524351 LNR524322:LNR524351 LXN524322:LXN524351 MHJ524322:MHJ524351 MRF524322:MRF524351 NBB524322:NBB524351 NKX524322:NKX524351 NUT524322:NUT524351 OEP524322:OEP524351 OOL524322:OOL524351 OYH524322:OYH524351 PID524322:PID524351 PRZ524322:PRZ524351 QBV524322:QBV524351 QLR524322:QLR524351 QVN524322:QVN524351 RFJ524322:RFJ524351 RPF524322:RPF524351 RZB524322:RZB524351 SIX524322:SIX524351 SST524322:SST524351 TCP524322:TCP524351 TML524322:TML524351 TWH524322:TWH524351 UGD524322:UGD524351 UPZ524322:UPZ524351 UZV524322:UZV524351 VJR524322:VJR524351 VTN524322:VTN524351 WDJ524322:WDJ524351 WNF524322:WNF524351 AT589858:AT589887 KP589858:KP589887 UL589858:UL589887 AEH589858:AEH589887 AOD589858:AOD589887 AXZ589858:AXZ589887 BHV589858:BHV589887 BRR589858:BRR589887 CBN589858:CBN589887 CLJ589858:CLJ589887 CVF589858:CVF589887 DFB589858:DFB589887 DOX589858:DOX589887 DYT589858:DYT589887 EIP589858:EIP589887 ESL589858:ESL589887 FCH589858:FCH589887 FMD589858:FMD589887 FVZ589858:FVZ589887 GFV589858:GFV589887 GPR589858:GPR589887 GZN589858:GZN589887 HJJ589858:HJJ589887 HTF589858:HTF589887 IDB589858:IDB589887 IMX589858:IMX589887 IWT589858:IWT589887 JGP589858:JGP589887 JQL589858:JQL589887 KAH589858:KAH589887 KKD589858:KKD589887 KTZ589858:KTZ589887 LDV589858:LDV589887 LNR589858:LNR589887 LXN589858:LXN589887 MHJ589858:MHJ589887 MRF589858:MRF589887 NBB589858:NBB589887 NKX589858:NKX589887 NUT589858:NUT589887 OEP589858:OEP589887 OOL589858:OOL589887 OYH589858:OYH589887 PID589858:PID589887 PRZ589858:PRZ589887 QBV589858:QBV589887 QLR589858:QLR589887 QVN589858:QVN589887 RFJ589858:RFJ589887 RPF589858:RPF589887 RZB589858:RZB589887 SIX589858:SIX589887 SST589858:SST589887 TCP589858:TCP589887 TML589858:TML589887 TWH589858:TWH589887 UGD589858:UGD589887 UPZ589858:UPZ589887 UZV589858:UZV589887 VJR589858:VJR589887 VTN589858:VTN589887 WDJ589858:WDJ589887 WNF589858:WNF589887 AT655394:AT655423 KP655394:KP655423 UL655394:UL655423 AEH655394:AEH655423 AOD655394:AOD655423 AXZ655394:AXZ655423 BHV655394:BHV655423 BRR655394:BRR655423 CBN655394:CBN655423 CLJ655394:CLJ655423 CVF655394:CVF655423 DFB655394:DFB655423 DOX655394:DOX655423 DYT655394:DYT655423 EIP655394:EIP655423 ESL655394:ESL655423 FCH655394:FCH655423 FMD655394:FMD655423 FVZ655394:FVZ655423 GFV655394:GFV655423 GPR655394:GPR655423 GZN655394:GZN655423 HJJ655394:HJJ655423 HTF655394:HTF655423 IDB655394:IDB655423 IMX655394:IMX655423 IWT655394:IWT655423 JGP655394:JGP655423 JQL655394:JQL655423 KAH655394:KAH655423 KKD655394:KKD655423 KTZ655394:KTZ655423 LDV655394:LDV655423 LNR655394:LNR655423 LXN655394:LXN655423 MHJ655394:MHJ655423 MRF655394:MRF655423 NBB655394:NBB655423 NKX655394:NKX655423 NUT655394:NUT655423 OEP655394:OEP655423 OOL655394:OOL655423 OYH655394:OYH655423 PID655394:PID655423 PRZ655394:PRZ655423 QBV655394:QBV655423 QLR655394:QLR655423 QVN655394:QVN655423 RFJ655394:RFJ655423 RPF655394:RPF655423 RZB655394:RZB655423 SIX655394:SIX655423 SST655394:SST655423 TCP655394:TCP655423 TML655394:TML655423 TWH655394:TWH655423 UGD655394:UGD655423 UPZ655394:UPZ655423 UZV655394:UZV655423 VJR655394:VJR655423 VTN655394:VTN655423 WDJ655394:WDJ655423 WNF655394:WNF655423 AT720930:AT720959 KP720930:KP720959 UL720930:UL720959 AEH720930:AEH720959 AOD720930:AOD720959 AXZ720930:AXZ720959 BHV720930:BHV720959 BRR720930:BRR720959 CBN720930:CBN720959 CLJ720930:CLJ720959 CVF720930:CVF720959 DFB720930:DFB720959 DOX720930:DOX720959 DYT720930:DYT720959 EIP720930:EIP720959 ESL720930:ESL720959 FCH720930:FCH720959 FMD720930:FMD720959 FVZ720930:FVZ720959 GFV720930:GFV720959 GPR720930:GPR720959 GZN720930:GZN720959 HJJ720930:HJJ720959 HTF720930:HTF720959 IDB720930:IDB720959 IMX720930:IMX720959 IWT720930:IWT720959 JGP720930:JGP720959 JQL720930:JQL720959 KAH720930:KAH720959 KKD720930:KKD720959 KTZ720930:KTZ720959 LDV720930:LDV720959 LNR720930:LNR720959 LXN720930:LXN720959 MHJ720930:MHJ720959 MRF720930:MRF720959 NBB720930:NBB720959 NKX720930:NKX720959 NUT720930:NUT720959 OEP720930:OEP720959 OOL720930:OOL720959 OYH720930:OYH720959 PID720930:PID720959 PRZ720930:PRZ720959 QBV720930:QBV720959 QLR720930:QLR720959 QVN720930:QVN720959 RFJ720930:RFJ720959 RPF720930:RPF720959 RZB720930:RZB720959 SIX720930:SIX720959 SST720930:SST720959 TCP720930:TCP720959 TML720930:TML720959 TWH720930:TWH720959 UGD720930:UGD720959 UPZ720930:UPZ720959 UZV720930:UZV720959 VJR720930:VJR720959 VTN720930:VTN720959 WDJ720930:WDJ720959 WNF720930:WNF720959 AT786466:AT786495 KP786466:KP786495 UL786466:UL786495 AEH786466:AEH786495 AOD786466:AOD786495 AXZ786466:AXZ786495 BHV786466:BHV786495 BRR786466:BRR786495 CBN786466:CBN786495 CLJ786466:CLJ786495 CVF786466:CVF786495 DFB786466:DFB786495 DOX786466:DOX786495 DYT786466:DYT786495 EIP786466:EIP786495 ESL786466:ESL786495 FCH786466:FCH786495 FMD786466:FMD786495 FVZ786466:FVZ786495 GFV786466:GFV786495 GPR786466:GPR786495 GZN786466:GZN786495 HJJ786466:HJJ786495 HTF786466:HTF786495 IDB786466:IDB786495 IMX786466:IMX786495 IWT786466:IWT786495 JGP786466:JGP786495 JQL786466:JQL786495 KAH786466:KAH786495 KKD786466:KKD786495 KTZ786466:KTZ786495 LDV786466:LDV786495 LNR786466:LNR786495 LXN786466:LXN786495 MHJ786466:MHJ786495 MRF786466:MRF786495 NBB786466:NBB786495 NKX786466:NKX786495 NUT786466:NUT786495 OEP786466:OEP786495 OOL786466:OOL786495 OYH786466:OYH786495 PID786466:PID786495 PRZ786466:PRZ786495 QBV786466:QBV786495 QLR786466:QLR786495 QVN786466:QVN786495 RFJ786466:RFJ786495 RPF786466:RPF786495 RZB786466:RZB786495 SIX786466:SIX786495 SST786466:SST786495 TCP786466:TCP786495 TML786466:TML786495 TWH786466:TWH786495 UGD786466:UGD786495 UPZ786466:UPZ786495 UZV786466:UZV786495 VJR786466:VJR786495 VTN786466:VTN786495 WDJ786466:WDJ786495 WNF786466:WNF786495 AT852002:AT852031 KP852002:KP852031 UL852002:UL852031 AEH852002:AEH852031 AOD852002:AOD852031 AXZ852002:AXZ852031 BHV852002:BHV852031 BRR852002:BRR852031 CBN852002:CBN852031 CLJ852002:CLJ852031 CVF852002:CVF852031 DFB852002:DFB852031 DOX852002:DOX852031 DYT852002:DYT852031 EIP852002:EIP852031 ESL852002:ESL852031 FCH852002:FCH852031 FMD852002:FMD852031 FVZ852002:FVZ852031 GFV852002:GFV852031 GPR852002:GPR852031 GZN852002:GZN852031 HJJ852002:HJJ852031 HTF852002:HTF852031 IDB852002:IDB852031 IMX852002:IMX852031 IWT852002:IWT852031 JGP852002:JGP852031 JQL852002:JQL852031 KAH852002:KAH852031 KKD852002:KKD852031 KTZ852002:KTZ852031 LDV852002:LDV852031 LNR852002:LNR852031 LXN852002:LXN852031 MHJ852002:MHJ852031 MRF852002:MRF852031 NBB852002:NBB852031 NKX852002:NKX852031 NUT852002:NUT852031 OEP852002:OEP852031 OOL852002:OOL852031 OYH852002:OYH852031 PID852002:PID852031 PRZ852002:PRZ852031 QBV852002:QBV852031 QLR852002:QLR852031 QVN852002:QVN852031 RFJ852002:RFJ852031 RPF852002:RPF852031 RZB852002:RZB852031 SIX852002:SIX852031 SST852002:SST852031 TCP852002:TCP852031 TML852002:TML852031 TWH852002:TWH852031 UGD852002:UGD852031 UPZ852002:UPZ852031 UZV852002:UZV852031 VJR852002:VJR852031 VTN852002:VTN852031 WDJ852002:WDJ852031 WNF852002:WNF852031 AT917538:AT917567 KP917538:KP917567 UL917538:UL917567 AEH917538:AEH917567 AOD917538:AOD917567 AXZ917538:AXZ917567 BHV917538:BHV917567 BRR917538:BRR917567 CBN917538:CBN917567 CLJ917538:CLJ917567 CVF917538:CVF917567 DFB917538:DFB917567 DOX917538:DOX917567 DYT917538:DYT917567 EIP917538:EIP917567 ESL917538:ESL917567 FCH917538:FCH917567 FMD917538:FMD917567 FVZ917538:FVZ917567 GFV917538:GFV917567 GPR917538:GPR917567 GZN917538:GZN917567 HJJ917538:HJJ917567 HTF917538:HTF917567 IDB917538:IDB917567 IMX917538:IMX917567 IWT917538:IWT917567 JGP917538:JGP917567 JQL917538:JQL917567 KAH917538:KAH917567 KKD917538:KKD917567 KTZ917538:KTZ917567 LDV917538:LDV917567 LNR917538:LNR917567 LXN917538:LXN917567 MHJ917538:MHJ917567 MRF917538:MRF917567 NBB917538:NBB917567 NKX917538:NKX917567 NUT917538:NUT917567 OEP917538:OEP917567 OOL917538:OOL917567 OYH917538:OYH917567 PID917538:PID917567 PRZ917538:PRZ917567 QBV917538:QBV917567 QLR917538:QLR917567 QVN917538:QVN917567 RFJ917538:RFJ917567 RPF917538:RPF917567 RZB917538:RZB917567 SIX917538:SIX917567 SST917538:SST917567 TCP917538:TCP917567 TML917538:TML917567 TWH917538:TWH917567 UGD917538:UGD917567 UPZ917538:UPZ917567 UZV917538:UZV917567 VJR917538:VJR917567 VTN917538:VTN917567 WDJ917538:WDJ917567 WNF917538:WNF917567 AT983074:AT983103 KP983074:KP983103 UL983074:UL983103 AEH983074:AEH983103 AOD983074:AOD983103 AXZ983074:AXZ983103 BHV983074:BHV983103 BRR983074:BRR983103 CBN983074:CBN983103 CLJ983074:CLJ983103 CVF983074:CVF983103 DFB983074:DFB983103 DOX983074:DOX983103 DYT983074:DYT983103 EIP983074:EIP983103 ESL983074:ESL983103 FCH983074:FCH983103 FMD983074:FMD983103 FVZ983074:FVZ983103 GFV983074:GFV983103 GPR983074:GPR983103 GZN983074:GZN983103 HJJ983074:HJJ983103 HTF983074:HTF983103 IDB983074:IDB983103 IMX983074:IMX983103 IWT983074:IWT983103 JGP983074:JGP983103 JQL983074:JQL983103 KAH983074:KAH983103 KKD983074:KKD983103 KTZ983074:KTZ983103 LDV983074:LDV983103 LNR983074:LNR983103 LXN983074:LXN983103 MHJ983074:MHJ983103 MRF983074:MRF983103 NBB983074:NBB983103 NKX983074:NKX983103 NUT983074:NUT983103 OEP983074:OEP983103 OOL983074:OOL983103 OYH983074:OYH983103 PID983074:PID983103 PRZ983074:PRZ983103 QBV983074:QBV983103 QLR983074:QLR983103 QVN983074:QVN983103 RFJ983074:RFJ983103 RPF983074:RPF983103 RZB983074:RZB983103 SIX983074:SIX983103 SST983074:SST983103 TCP983074:TCP983103 TML983074:TML983103 TWH983074:TWH983103 UGD983074:UGD983103 UPZ983074:UPZ983103 UZV983074:UZV983103 VJR983074:VJR983103 VTN983074:VTN983103 WDJ983074:WDJ983103 WDF7:WDF66 WNB7:WNB66 AP7:AP66 KL7:KL66 UH7:UH66 AED7:AED66 ANZ7:ANZ66 AXV7:AXV66 BHR7:BHR66 BRN7:BRN66 CBJ7:CBJ66 CLF7:CLF66 CVB7:CVB66 DEX7:DEX66 DOT7:DOT66 DYP7:DYP66 EIL7:EIL66 ESH7:ESH66 FCD7:FCD66 FLZ7:FLZ66 FVV7:FVV66 GFR7:GFR66 GPN7:GPN66 GZJ7:GZJ66 HJF7:HJF66 HTB7:HTB66 ICX7:ICX66 IMT7:IMT66 IWP7:IWP66 JGL7:JGL66 JQH7:JQH66 KAD7:KAD66 KJZ7:KJZ66 KTV7:KTV66 LDR7:LDR66 LNN7:LNN66 LXJ7:LXJ66 MHF7:MHF66 MRB7:MRB66 NAX7:NAX66 NKT7:NKT66 NUP7:NUP66 OEL7:OEL66 OOH7:OOH66 OYD7:OYD66 PHZ7:PHZ66 PRV7:PRV66 QBR7:QBR66 QLN7:QLN66 QVJ7:QVJ66 RFF7:RFF66 RPB7:RPB66 RYX7:RYX66 SIT7:SIT66 SSP7:SSP66 TCL7:TCL66 TMH7:TMH66 TWD7:TWD66 UFZ7:UFZ66 UPV7:UPV66 UZR7:UZR66 VJN7:VJN66 VTJ7:VTJ6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8" scale="29" fitToHeight="2" orientation="landscape" r:id="rId1"/>
  <headerFooter alignWithMargins="0"/>
  <ignoredErrors>
    <ignoredError sqref="AM67 AD67"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E47 E35 E7 E51 E55 E59 E63 E31 E11 E15 E23 E27 E19 E39 E43</xm:sqref>
        </x14:dataValidation>
        <x14:dataValidation type="list" allowBlank="1" showInputMessage="1" showErrorMessage="1" xr:uid="{5BF4A911-C3A6-4585-85E2-A5F3557B19DD}">
          <x14:formula1>
            <xm:f>Ref!$D$2:$D$3</xm:f>
          </x14:formula1>
          <xm:sqref>L7 L35 L47 L51 L55 L59 L63 W7 AF7 W35 W47 W51 W55 W59 W63 AF35 AF47 AF51 AF55 AF59 AF63 L31 W31 AF31 L11 W11 AF11 L15 W15 AF15 L23 W23:W24 AF23 L27 W27 AF27 L19:L20 W19 AF19 L39 W39 AF39 L43 W43:W44 AF43</xm:sqref>
        </x14:dataValidation>
        <x14:dataValidation type="list" allowBlank="1" showInputMessage="1" showErrorMessage="1" xr:uid="{6070C04B-CD25-4340-BB4C-216D792EDCD6}">
          <x14:formula1>
            <xm:f>Ref!$C$2:$C$16</xm:f>
          </x14:formula1>
          <xm:sqref>F63 F59 F55 F51 F47 F35 F7 F31 F11 F15 F23 F27 F19 F39 F43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WE189"/>
  <sheetViews>
    <sheetView tabSelected="1" topLeftCell="A31" zoomScale="85" zoomScaleNormal="85" workbookViewId="0">
      <selection activeCell="K58" sqref="K58"/>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19.5546875" style="67" customWidth="1"/>
    <col min="10" max="10" width="15.77734375" style="58" customWidth="1"/>
    <col min="11" max="11" width="16.44140625" style="58" customWidth="1"/>
    <col min="12" max="12" width="14.5546875" style="58" customWidth="1"/>
    <col min="13" max="15" width="15.77734375" style="58" hidden="1" customWidth="1"/>
    <col min="16" max="17" width="8" style="58" hidden="1" customWidth="1"/>
    <col min="18" max="257" width="9.109375" style="58" hidden="1"/>
    <col min="258" max="258" width="11" style="58" hidden="1" customWidth="1"/>
    <col min="259" max="259" width="24" style="58" hidden="1" customWidth="1"/>
    <col min="260" max="260" width="14" style="58" hidden="1" customWidth="1"/>
    <col min="261" max="261" width="14.109375" style="58" hidden="1" customWidth="1"/>
    <col min="262" max="262" width="13" style="58" hidden="1" customWidth="1"/>
    <col min="263" max="263" width="14" style="58" hidden="1" customWidth="1"/>
    <col min="264" max="264" width="15" style="58" hidden="1" customWidth="1"/>
    <col min="265" max="265" width="15.21875" style="58" hidden="1"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51" width="0" style="58" hidden="1"/>
    <col min="16152" max="16384" width="9.109375" style="58" hidden="1"/>
  </cols>
  <sheetData>
    <row r="1" spans="1:265" s="706" customFormat="1" ht="22.8" customHeight="1">
      <c r="A1" s="362" t="s">
        <v>156</v>
      </c>
      <c r="B1" s="704"/>
      <c r="C1" s="704"/>
      <c r="D1" s="362"/>
      <c r="E1" s="705"/>
      <c r="F1" s="705"/>
      <c r="G1" s="705"/>
      <c r="H1" s="705"/>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c r="CE1" s="363"/>
      <c r="CF1" s="363"/>
      <c r="CG1" s="363"/>
      <c r="CH1" s="363"/>
      <c r="CI1" s="363"/>
      <c r="CJ1" s="363"/>
      <c r="CK1" s="363"/>
      <c r="CL1" s="363"/>
      <c r="CM1" s="363"/>
      <c r="CN1" s="363"/>
      <c r="CO1" s="363"/>
      <c r="CP1" s="363"/>
      <c r="CQ1" s="363"/>
      <c r="CR1" s="363"/>
      <c r="CS1" s="363"/>
      <c r="CT1" s="363"/>
      <c r="CU1" s="363"/>
      <c r="CV1" s="363"/>
      <c r="CW1" s="363"/>
      <c r="CX1" s="363"/>
      <c r="CY1" s="363"/>
      <c r="CZ1" s="363"/>
      <c r="DA1" s="363"/>
      <c r="DB1" s="363"/>
      <c r="DC1" s="363"/>
      <c r="DD1" s="363"/>
      <c r="DE1" s="363"/>
      <c r="DF1" s="363"/>
      <c r="DG1" s="363"/>
      <c r="DH1" s="363"/>
      <c r="DI1" s="363"/>
      <c r="DJ1" s="363"/>
      <c r="DK1" s="363"/>
      <c r="DL1" s="363"/>
      <c r="DM1" s="363"/>
      <c r="DN1" s="363"/>
      <c r="DO1" s="363"/>
      <c r="DP1" s="363"/>
      <c r="DQ1" s="363"/>
      <c r="DR1" s="363"/>
      <c r="DS1" s="363"/>
      <c r="DT1" s="363"/>
      <c r="DU1" s="363"/>
      <c r="DV1" s="363"/>
      <c r="DW1" s="363"/>
      <c r="DX1" s="363"/>
      <c r="DY1" s="363"/>
      <c r="DZ1" s="363"/>
      <c r="EA1" s="363"/>
      <c r="EB1" s="363"/>
      <c r="EC1" s="363"/>
      <c r="ED1" s="363"/>
      <c r="EE1" s="363"/>
      <c r="EF1" s="363"/>
      <c r="EG1" s="363"/>
      <c r="EH1" s="363"/>
      <c r="EI1" s="363"/>
      <c r="EJ1" s="363"/>
      <c r="EK1" s="363"/>
      <c r="EL1" s="363"/>
      <c r="EM1" s="363"/>
      <c r="EN1" s="363"/>
      <c r="EO1" s="363"/>
      <c r="EP1" s="363"/>
      <c r="EQ1" s="363"/>
      <c r="ER1" s="363"/>
      <c r="ES1" s="363"/>
      <c r="ET1" s="363"/>
      <c r="EU1" s="363"/>
      <c r="EV1" s="363"/>
      <c r="EW1" s="363"/>
      <c r="EX1" s="363"/>
      <c r="EY1" s="363"/>
      <c r="EZ1" s="363"/>
      <c r="FA1" s="363"/>
      <c r="FB1" s="363"/>
      <c r="FC1" s="363"/>
      <c r="FD1" s="363"/>
      <c r="FE1" s="363"/>
      <c r="FF1" s="363"/>
      <c r="FG1" s="363"/>
      <c r="FH1" s="363"/>
      <c r="FI1" s="363"/>
      <c r="FJ1" s="363"/>
      <c r="FK1" s="363"/>
      <c r="FL1" s="363"/>
      <c r="FM1" s="363"/>
      <c r="FN1" s="363"/>
      <c r="FO1" s="363"/>
      <c r="FP1" s="363"/>
      <c r="FQ1" s="363"/>
      <c r="FR1" s="363"/>
      <c r="FS1" s="363"/>
      <c r="FT1" s="363"/>
      <c r="FU1" s="363"/>
      <c r="FV1" s="363"/>
      <c r="FW1" s="363"/>
      <c r="FX1" s="363"/>
      <c r="FY1" s="363"/>
      <c r="FZ1" s="363"/>
      <c r="GA1" s="363"/>
      <c r="GB1" s="363"/>
      <c r="GC1" s="363"/>
      <c r="GD1" s="363"/>
      <c r="GE1" s="363"/>
      <c r="GF1" s="363"/>
      <c r="GG1" s="363"/>
      <c r="GH1" s="363"/>
      <c r="GI1" s="363"/>
      <c r="GJ1" s="363"/>
      <c r="GK1" s="363"/>
      <c r="GL1" s="363"/>
      <c r="GM1" s="363"/>
      <c r="GN1" s="363"/>
      <c r="GO1" s="363"/>
      <c r="GP1" s="363"/>
      <c r="GQ1" s="363"/>
      <c r="GR1" s="363"/>
      <c r="GS1" s="363"/>
      <c r="GT1" s="363"/>
      <c r="GU1" s="363"/>
      <c r="GV1" s="363"/>
      <c r="GW1" s="363"/>
      <c r="GX1" s="363"/>
      <c r="GY1" s="363"/>
      <c r="GZ1" s="363"/>
      <c r="HA1" s="363"/>
      <c r="HB1" s="363"/>
      <c r="HC1" s="363"/>
      <c r="HD1" s="363"/>
      <c r="HE1" s="363"/>
      <c r="HF1" s="363"/>
      <c r="HG1" s="363"/>
      <c r="HH1" s="363"/>
      <c r="HI1" s="363"/>
      <c r="HJ1" s="363"/>
      <c r="HK1" s="363"/>
      <c r="HL1" s="363"/>
      <c r="HM1" s="363"/>
      <c r="HN1" s="363"/>
      <c r="HO1" s="363"/>
      <c r="HP1" s="363"/>
      <c r="HQ1" s="363"/>
      <c r="HR1" s="363"/>
      <c r="HS1" s="363"/>
      <c r="HT1" s="363"/>
      <c r="HU1" s="363"/>
      <c r="HV1" s="363"/>
      <c r="HW1" s="363"/>
      <c r="HX1" s="363"/>
      <c r="HY1" s="363"/>
      <c r="HZ1" s="363"/>
      <c r="IA1" s="363"/>
      <c r="IB1" s="363"/>
      <c r="IC1" s="363"/>
      <c r="ID1" s="363"/>
      <c r="IE1" s="363"/>
      <c r="IF1" s="363"/>
      <c r="IG1" s="363"/>
      <c r="IH1" s="363"/>
      <c r="II1" s="363"/>
      <c r="IJ1" s="363"/>
      <c r="IK1" s="363"/>
      <c r="IL1" s="363"/>
      <c r="IM1" s="363"/>
      <c r="IN1" s="363"/>
      <c r="IO1" s="363"/>
      <c r="IP1" s="363"/>
      <c r="IQ1" s="363"/>
      <c r="IR1" s="363"/>
      <c r="IS1" s="363"/>
      <c r="IT1" s="363"/>
      <c r="IU1" s="363"/>
      <c r="IV1" s="363"/>
      <c r="IW1" s="363"/>
      <c r="IX1" s="363"/>
      <c r="IY1" s="363"/>
      <c r="IZ1" s="363"/>
      <c r="JA1" s="363"/>
      <c r="JB1" s="363"/>
      <c r="JC1" s="363"/>
      <c r="JD1" s="363"/>
      <c r="JE1" s="363"/>
    </row>
    <row r="2" spans="1:265" s="706" customFormat="1" ht="22.8" customHeight="1">
      <c r="A2" s="362" t="s">
        <v>214</v>
      </c>
      <c r="B2" s="704"/>
      <c r="C2" s="704"/>
      <c r="D2" s="362"/>
      <c r="E2" s="705"/>
      <c r="F2" s="705"/>
      <c r="G2" s="705"/>
      <c r="H2" s="705"/>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c r="CE2" s="363"/>
      <c r="CF2" s="363"/>
      <c r="CG2" s="363"/>
      <c r="CH2" s="363"/>
      <c r="CI2" s="363"/>
      <c r="CJ2" s="363"/>
      <c r="CK2" s="363"/>
      <c r="CL2" s="363"/>
      <c r="CM2" s="363"/>
      <c r="CN2" s="363"/>
      <c r="CO2" s="363"/>
      <c r="CP2" s="363"/>
      <c r="CQ2" s="363"/>
      <c r="CR2" s="363"/>
      <c r="CS2" s="363"/>
      <c r="CT2" s="363"/>
      <c r="CU2" s="363"/>
      <c r="CV2" s="363"/>
      <c r="CW2" s="363"/>
      <c r="CX2" s="363"/>
      <c r="CY2" s="363"/>
      <c r="CZ2" s="363"/>
      <c r="DA2" s="363"/>
      <c r="DB2" s="363"/>
      <c r="DC2" s="363"/>
      <c r="DD2" s="363"/>
      <c r="DE2" s="363"/>
      <c r="DF2" s="363"/>
      <c r="DG2" s="363"/>
      <c r="DH2" s="363"/>
      <c r="DI2" s="363"/>
      <c r="DJ2" s="363"/>
      <c r="DK2" s="363"/>
      <c r="DL2" s="363"/>
      <c r="DM2" s="363"/>
      <c r="DN2" s="363"/>
      <c r="DO2" s="363"/>
      <c r="DP2" s="363"/>
      <c r="DQ2" s="363"/>
      <c r="DR2" s="363"/>
      <c r="DS2" s="363"/>
      <c r="DT2" s="363"/>
      <c r="DU2" s="363"/>
      <c r="DV2" s="363"/>
      <c r="DW2" s="363"/>
      <c r="DX2" s="363"/>
      <c r="DY2" s="363"/>
      <c r="DZ2" s="363"/>
      <c r="EA2" s="363"/>
      <c r="EB2" s="363"/>
      <c r="EC2" s="363"/>
      <c r="ED2" s="363"/>
      <c r="EE2" s="363"/>
      <c r="EF2" s="363"/>
      <c r="EG2" s="363"/>
      <c r="EH2" s="363"/>
      <c r="EI2" s="363"/>
      <c r="EJ2" s="363"/>
      <c r="EK2" s="363"/>
      <c r="EL2" s="363"/>
      <c r="EM2" s="363"/>
      <c r="EN2" s="363"/>
      <c r="EO2" s="363"/>
      <c r="EP2" s="363"/>
      <c r="EQ2" s="363"/>
      <c r="ER2" s="363"/>
      <c r="ES2" s="363"/>
      <c r="ET2" s="363"/>
      <c r="EU2" s="363"/>
      <c r="EV2" s="363"/>
      <c r="EW2" s="363"/>
      <c r="EX2" s="363"/>
      <c r="EY2" s="363"/>
      <c r="EZ2" s="363"/>
      <c r="FA2" s="363"/>
      <c r="FB2" s="363"/>
      <c r="FC2" s="363"/>
      <c r="FD2" s="363"/>
      <c r="FE2" s="363"/>
      <c r="FF2" s="363"/>
      <c r="FG2" s="363"/>
      <c r="FH2" s="363"/>
      <c r="FI2" s="363"/>
      <c r="FJ2" s="363"/>
      <c r="FK2" s="363"/>
      <c r="FL2" s="363"/>
      <c r="FM2" s="363"/>
      <c r="FN2" s="363"/>
      <c r="FO2" s="363"/>
      <c r="FP2" s="363"/>
      <c r="FQ2" s="363"/>
      <c r="FR2" s="363"/>
      <c r="FS2" s="363"/>
      <c r="FT2" s="363"/>
      <c r="FU2" s="363"/>
      <c r="FV2" s="363"/>
      <c r="FW2" s="363"/>
      <c r="FX2" s="363"/>
      <c r="FY2" s="363"/>
      <c r="FZ2" s="363"/>
      <c r="GA2" s="363"/>
      <c r="GB2" s="363"/>
      <c r="GC2" s="363"/>
      <c r="GD2" s="363"/>
      <c r="GE2" s="363"/>
      <c r="GF2" s="363"/>
      <c r="GG2" s="363"/>
      <c r="GH2" s="363"/>
      <c r="GI2" s="363"/>
      <c r="GJ2" s="363"/>
      <c r="GK2" s="363"/>
      <c r="GL2" s="363"/>
      <c r="GM2" s="363"/>
      <c r="GN2" s="363"/>
      <c r="GO2" s="363"/>
      <c r="GP2" s="363"/>
      <c r="GQ2" s="363"/>
      <c r="GR2" s="363"/>
      <c r="GS2" s="363"/>
      <c r="GT2" s="363"/>
      <c r="GU2" s="363"/>
      <c r="GV2" s="363"/>
      <c r="GW2" s="363"/>
      <c r="GX2" s="363"/>
      <c r="GY2" s="363"/>
      <c r="GZ2" s="363"/>
      <c r="HA2" s="363"/>
      <c r="HB2" s="363"/>
      <c r="HC2" s="363"/>
      <c r="HD2" s="363"/>
      <c r="HE2" s="363"/>
      <c r="HF2" s="363"/>
      <c r="HG2" s="363"/>
      <c r="HH2" s="363"/>
      <c r="HI2" s="363"/>
      <c r="HJ2" s="363"/>
      <c r="HK2" s="363"/>
      <c r="HL2" s="363"/>
      <c r="HM2" s="363"/>
      <c r="HN2" s="363"/>
      <c r="HO2" s="363"/>
      <c r="HP2" s="363"/>
      <c r="HQ2" s="363"/>
      <c r="HR2" s="363"/>
      <c r="HS2" s="363"/>
      <c r="HT2" s="363"/>
      <c r="HU2" s="363"/>
      <c r="HV2" s="363"/>
      <c r="HW2" s="363"/>
      <c r="HX2" s="363"/>
      <c r="HY2" s="363"/>
      <c r="HZ2" s="363"/>
      <c r="IA2" s="363"/>
      <c r="IB2" s="363"/>
      <c r="IC2" s="363"/>
      <c r="ID2" s="363"/>
      <c r="IE2" s="363"/>
      <c r="IF2" s="363"/>
      <c r="IG2" s="363"/>
      <c r="IH2" s="363"/>
      <c r="II2" s="363"/>
      <c r="IJ2" s="363"/>
      <c r="IK2" s="363"/>
      <c r="IL2" s="363"/>
      <c r="IM2" s="363"/>
      <c r="IN2" s="363"/>
      <c r="IO2" s="363"/>
      <c r="IP2" s="363"/>
      <c r="IQ2" s="363"/>
      <c r="IR2" s="363"/>
      <c r="IS2" s="363"/>
      <c r="IT2" s="363"/>
      <c r="IU2" s="363"/>
      <c r="IV2" s="363"/>
      <c r="IW2" s="363"/>
      <c r="IX2" s="363"/>
      <c r="IY2" s="363"/>
      <c r="IZ2" s="363"/>
      <c r="JA2" s="363"/>
      <c r="JB2" s="363"/>
      <c r="JC2" s="363"/>
      <c r="JD2" s="363"/>
      <c r="JE2" s="363"/>
    </row>
    <row r="3" spans="1:265" s="706" customFormat="1" ht="22.8" customHeight="1" thickBot="1">
      <c r="A3" s="363" t="s">
        <v>66</v>
      </c>
      <c r="B3" s="362"/>
      <c r="C3" s="363"/>
      <c r="D3" s="363"/>
      <c r="E3" s="364"/>
      <c r="F3" s="364"/>
      <c r="G3" s="159">
        <v>0.04</v>
      </c>
      <c r="H3" s="365"/>
      <c r="I3" s="707"/>
      <c r="J3" s="707"/>
      <c r="K3" s="707"/>
      <c r="L3" s="707"/>
      <c r="M3" s="708" t="s">
        <v>165</v>
      </c>
      <c r="N3" s="708"/>
      <c r="O3" s="708"/>
      <c r="P3" s="708"/>
      <c r="Q3" s="708"/>
      <c r="IX3" s="363"/>
      <c r="IY3" s="709" t="s">
        <v>174</v>
      </c>
      <c r="IZ3" s="363"/>
      <c r="JA3" s="363"/>
      <c r="JB3" s="363"/>
      <c r="JC3" s="363"/>
      <c r="JD3" s="363"/>
      <c r="JE3" s="363"/>
    </row>
    <row r="4" spans="1:265" s="45" customFormat="1" ht="30" customHeight="1" thickBot="1">
      <c r="A4" s="686" t="s">
        <v>0</v>
      </c>
      <c r="B4" s="436" t="s">
        <v>2</v>
      </c>
      <c r="C4" s="436" t="s">
        <v>6</v>
      </c>
      <c r="D4" s="436" t="s">
        <v>9</v>
      </c>
      <c r="E4" s="437" t="s">
        <v>26</v>
      </c>
      <c r="F4" s="438" t="s">
        <v>3</v>
      </c>
      <c r="G4" s="437" t="s">
        <v>29</v>
      </c>
      <c r="H4" s="439" t="s">
        <v>4</v>
      </c>
      <c r="I4" s="348"/>
      <c r="J4" s="356"/>
      <c r="K4" s="797"/>
      <c r="L4" s="797"/>
      <c r="M4" s="347" t="s">
        <v>166</v>
      </c>
      <c r="N4" s="347" t="s">
        <v>167</v>
      </c>
      <c r="O4" s="347" t="s">
        <v>168</v>
      </c>
      <c r="P4" s="347" t="s">
        <v>169</v>
      </c>
      <c r="Q4" s="347" t="s">
        <v>170</v>
      </c>
      <c r="IX4" s="385"/>
      <c r="IY4" s="353" t="s">
        <v>94</v>
      </c>
      <c r="IZ4" s="354" t="s">
        <v>172</v>
      </c>
      <c r="JA4" s="354" t="s">
        <v>173</v>
      </c>
      <c r="JB4" s="354" t="s">
        <v>175</v>
      </c>
      <c r="JC4" s="354" t="s">
        <v>176</v>
      </c>
      <c r="JD4" s="354" t="s">
        <v>177</v>
      </c>
      <c r="JE4" s="385"/>
    </row>
    <row r="5" spans="1:265" s="175" customFormat="1" ht="19.95" customHeight="1">
      <c r="A5" s="710">
        <v>1</v>
      </c>
      <c r="B5" s="711" t="s">
        <v>94</v>
      </c>
      <c r="C5" s="425" t="s">
        <v>70</v>
      </c>
      <c r="D5" s="426" t="s">
        <v>64</v>
      </c>
      <c r="E5" s="427">
        <v>2</v>
      </c>
      <c r="F5" s="428">
        <v>46199.16</v>
      </c>
      <c r="G5" s="429">
        <f>F5*G3</f>
        <v>1847.9664000000002</v>
      </c>
      <c r="H5" s="430">
        <f>F5-G5</f>
        <v>44351.193600000006</v>
      </c>
      <c r="I5" s="453" t="s">
        <v>179</v>
      </c>
      <c r="J5" s="357"/>
      <c r="K5" s="356"/>
      <c r="L5" s="356"/>
      <c r="M5" s="349">
        <f>IZ5+JA5+JB5+JC5+JD5</f>
        <v>0</v>
      </c>
      <c r="N5" s="349">
        <f>1140.48/2</f>
        <v>570.24</v>
      </c>
      <c r="O5" s="351"/>
      <c r="P5" s="350"/>
      <c r="Q5" s="351"/>
      <c r="IX5" s="361"/>
      <c r="IY5" s="346" t="s">
        <v>70</v>
      </c>
      <c r="IZ5" s="346"/>
      <c r="JA5" s="346"/>
      <c r="JB5" s="346"/>
      <c r="JC5" s="346"/>
      <c r="JD5" s="346"/>
      <c r="JE5" s="361"/>
    </row>
    <row r="6" spans="1:265" s="175" customFormat="1" ht="19.95" customHeight="1">
      <c r="A6" s="712"/>
      <c r="B6" s="334"/>
      <c r="C6" s="328" t="s">
        <v>71</v>
      </c>
      <c r="D6" s="176"/>
      <c r="E6" s="431">
        <v>0</v>
      </c>
      <c r="F6" s="432">
        <v>0</v>
      </c>
      <c r="G6" s="433">
        <f>F6*$G$3</f>
        <v>0</v>
      </c>
      <c r="H6" s="434">
        <f>F6-G6</f>
        <v>0</v>
      </c>
      <c r="I6" s="358"/>
      <c r="J6" s="358"/>
      <c r="K6" s="357"/>
      <c r="L6" s="357"/>
      <c r="M6" s="351"/>
      <c r="N6" s="352"/>
      <c r="O6" s="351"/>
      <c r="P6" s="351"/>
      <c r="Q6" s="351"/>
      <c r="IX6" s="361"/>
      <c r="IY6" s="346" t="s">
        <v>71</v>
      </c>
      <c r="IZ6" s="346"/>
      <c r="JA6" s="346"/>
      <c r="JB6" s="346"/>
      <c r="JC6" s="346"/>
      <c r="JD6" s="346"/>
      <c r="JE6" s="361"/>
    </row>
    <row r="7" spans="1:265" s="175" customFormat="1" ht="19.95" customHeight="1">
      <c r="A7" s="712"/>
      <c r="B7" s="334"/>
      <c r="C7" s="328" t="s">
        <v>73</v>
      </c>
      <c r="D7" s="176"/>
      <c r="E7" s="431">
        <v>0</v>
      </c>
      <c r="F7" s="432">
        <v>0</v>
      </c>
      <c r="G7" s="433">
        <f t="shared" ref="G7:G14" si="0">F7*$G$3</f>
        <v>0</v>
      </c>
      <c r="H7" s="434">
        <f t="shared" ref="H7:H14" si="1">F7-G7</f>
        <v>0</v>
      </c>
      <c r="I7" s="358"/>
      <c r="J7" s="358"/>
      <c r="K7" s="358"/>
      <c r="L7" s="358"/>
      <c r="M7" s="351"/>
      <c r="N7" s="352"/>
      <c r="O7" s="351"/>
      <c r="P7" s="351"/>
      <c r="Q7" s="351"/>
      <c r="IX7" s="361"/>
      <c r="IY7" s="346" t="s">
        <v>73</v>
      </c>
      <c r="IZ7" s="346"/>
      <c r="JA7" s="346"/>
      <c r="JB7" s="346"/>
      <c r="JC7" s="346"/>
      <c r="JD7" s="346"/>
      <c r="JE7" s="361"/>
    </row>
    <row r="8" spans="1:265" s="175" customFormat="1" ht="19.95" customHeight="1">
      <c r="A8" s="712"/>
      <c r="B8" s="334"/>
      <c r="C8" s="328" t="s">
        <v>74</v>
      </c>
      <c r="D8" s="176"/>
      <c r="E8" s="431">
        <v>3</v>
      </c>
      <c r="F8" s="432">
        <v>15520.6</v>
      </c>
      <c r="G8" s="433">
        <f>F8*$G$3</f>
        <v>620.82400000000007</v>
      </c>
      <c r="H8" s="434">
        <f t="shared" si="1"/>
        <v>14899.776</v>
      </c>
      <c r="I8" s="358"/>
      <c r="J8" s="358"/>
      <c r="K8" s="358"/>
      <c r="L8" s="358"/>
      <c r="M8" s="351"/>
      <c r="N8" s="352"/>
      <c r="O8" s="351"/>
      <c r="P8" s="351"/>
      <c r="Q8" s="351"/>
      <c r="IX8" s="361"/>
      <c r="IY8" s="346" t="s">
        <v>74</v>
      </c>
      <c r="IZ8" s="346"/>
      <c r="JA8" s="346"/>
      <c r="JB8" s="346"/>
      <c r="JC8" s="346"/>
      <c r="JD8" s="346"/>
      <c r="JE8" s="361"/>
    </row>
    <row r="9" spans="1:265" s="175" customFormat="1" ht="19.95" customHeight="1">
      <c r="A9" s="712"/>
      <c r="B9" s="334"/>
      <c r="C9" s="328" t="s">
        <v>75</v>
      </c>
      <c r="D9" s="176"/>
      <c r="E9" s="431">
        <v>3</v>
      </c>
      <c r="F9" s="432">
        <v>63379.8</v>
      </c>
      <c r="G9" s="433">
        <f t="shared" si="0"/>
        <v>2535.192</v>
      </c>
      <c r="H9" s="434">
        <f t="shared" si="1"/>
        <v>60844.608</v>
      </c>
      <c r="I9" s="358"/>
      <c r="J9" s="358"/>
      <c r="K9" s="679"/>
      <c r="L9" s="358"/>
      <c r="M9" s="351"/>
      <c r="N9" s="352"/>
      <c r="O9" s="351"/>
      <c r="P9" s="351"/>
      <c r="Q9" s="351"/>
      <c r="IX9" s="361"/>
      <c r="IY9" s="346" t="s">
        <v>75</v>
      </c>
      <c r="IZ9" s="346"/>
      <c r="JA9" s="346"/>
      <c r="JB9" s="346"/>
      <c r="JC9" s="346"/>
      <c r="JD9" s="346"/>
      <c r="JE9" s="361"/>
    </row>
    <row r="10" spans="1:265" s="175" customFormat="1" ht="19.95" customHeight="1">
      <c r="A10" s="712"/>
      <c r="B10" s="334"/>
      <c r="C10" s="328" t="s">
        <v>152</v>
      </c>
      <c r="D10" s="176"/>
      <c r="E10" s="431">
        <v>0</v>
      </c>
      <c r="F10" s="432">
        <v>0</v>
      </c>
      <c r="G10" s="433">
        <f t="shared" si="0"/>
        <v>0</v>
      </c>
      <c r="H10" s="434">
        <f t="shared" si="1"/>
        <v>0</v>
      </c>
      <c r="I10" s="358"/>
      <c r="J10" s="358"/>
      <c r="K10" s="356"/>
      <c r="L10" s="356"/>
      <c r="M10" s="351"/>
      <c r="N10" s="352"/>
      <c r="O10" s="351"/>
      <c r="P10" s="351"/>
      <c r="Q10" s="351"/>
      <c r="IX10" s="361"/>
      <c r="IY10" s="346" t="s">
        <v>152</v>
      </c>
      <c r="IZ10" s="346"/>
      <c r="JA10" s="346"/>
      <c r="JB10" s="346"/>
      <c r="JC10" s="346"/>
      <c r="JD10" s="346"/>
      <c r="JE10" s="361"/>
    </row>
    <row r="11" spans="1:265" s="175" customFormat="1" ht="19.95" customHeight="1">
      <c r="A11" s="712"/>
      <c r="B11" s="334"/>
      <c r="C11" s="328" t="s">
        <v>130</v>
      </c>
      <c r="D11" s="176"/>
      <c r="E11" s="431">
        <v>1</v>
      </c>
      <c r="F11" s="432">
        <v>1000</v>
      </c>
      <c r="G11" s="433">
        <f t="shared" si="0"/>
        <v>40</v>
      </c>
      <c r="H11" s="434">
        <f t="shared" si="1"/>
        <v>960</v>
      </c>
      <c r="I11" s="358"/>
      <c r="J11" s="358"/>
      <c r="K11" s="357"/>
      <c r="L11" s="357"/>
      <c r="M11" s="351"/>
      <c r="N11" s="352"/>
      <c r="O11" s="351"/>
      <c r="P11" s="351"/>
      <c r="Q11" s="351"/>
      <c r="IX11" s="361"/>
      <c r="IY11" s="346" t="s">
        <v>130</v>
      </c>
      <c r="IZ11" s="346"/>
      <c r="JA11" s="346"/>
      <c r="JB11" s="346"/>
      <c r="JC11" s="346"/>
      <c r="JD11" s="346"/>
      <c r="JE11" s="361"/>
    </row>
    <row r="12" spans="1:265" s="175" customFormat="1" ht="19.95" customHeight="1">
      <c r="A12" s="712"/>
      <c r="B12" s="334"/>
      <c r="C12" s="328" t="s">
        <v>151</v>
      </c>
      <c r="D12" s="176"/>
      <c r="E12" s="431">
        <v>1</v>
      </c>
      <c r="F12" s="432">
        <v>8341.67</v>
      </c>
      <c r="G12" s="433">
        <f>F12*$G$3</f>
        <v>333.66680000000002</v>
      </c>
      <c r="H12" s="434">
        <f t="shared" si="1"/>
        <v>8008.0032000000001</v>
      </c>
      <c r="I12" s="358"/>
      <c r="J12" s="358"/>
      <c r="K12" s="358"/>
      <c r="L12" s="358"/>
      <c r="M12" s="351"/>
      <c r="N12" s="352"/>
      <c r="O12" s="351"/>
      <c r="P12" s="351"/>
      <c r="Q12" s="351"/>
      <c r="IX12" s="361"/>
      <c r="IY12" s="346" t="s">
        <v>151</v>
      </c>
      <c r="IZ12" s="346"/>
      <c r="JA12" s="346"/>
      <c r="JB12" s="346"/>
      <c r="JC12" s="346"/>
      <c r="JD12" s="346"/>
      <c r="JE12" s="361"/>
    </row>
    <row r="13" spans="1:265" s="175" customFormat="1" ht="19.95" customHeight="1">
      <c r="A13" s="712"/>
      <c r="B13" s="334"/>
      <c r="C13" s="328" t="s">
        <v>72</v>
      </c>
      <c r="D13" s="176"/>
      <c r="E13" s="431">
        <v>0</v>
      </c>
      <c r="F13" s="432">
        <v>0</v>
      </c>
      <c r="G13" s="433">
        <f t="shared" si="0"/>
        <v>0</v>
      </c>
      <c r="H13" s="434">
        <f t="shared" si="1"/>
        <v>0</v>
      </c>
      <c r="I13" s="358"/>
      <c r="J13" s="358"/>
      <c r="K13" s="358"/>
      <c r="L13" s="358"/>
      <c r="M13" s="351"/>
      <c r="N13" s="352"/>
      <c r="O13" s="351"/>
      <c r="P13" s="351"/>
      <c r="Q13" s="351"/>
      <c r="IX13" s="361"/>
      <c r="IY13" s="346" t="s">
        <v>72</v>
      </c>
      <c r="IZ13" s="346"/>
      <c r="JA13" s="346"/>
      <c r="JB13" s="346"/>
      <c r="JC13" s="346"/>
      <c r="JD13" s="346"/>
      <c r="JE13" s="361"/>
    </row>
    <row r="14" spans="1:265" s="175" customFormat="1" ht="19.95" customHeight="1" thickBot="1">
      <c r="A14" s="712"/>
      <c r="B14" s="334"/>
      <c r="C14" s="328" t="s">
        <v>67</v>
      </c>
      <c r="D14" s="176"/>
      <c r="E14" s="431">
        <v>0</v>
      </c>
      <c r="F14" s="432">
        <v>0</v>
      </c>
      <c r="G14" s="433">
        <f t="shared" si="0"/>
        <v>0</v>
      </c>
      <c r="H14" s="434">
        <f t="shared" si="1"/>
        <v>0</v>
      </c>
      <c r="I14" s="358"/>
      <c r="J14" s="358"/>
      <c r="K14" s="358"/>
      <c r="L14" s="358"/>
      <c r="M14" s="351">
        <f>2280.96/2</f>
        <v>1140.48</v>
      </c>
      <c r="N14" s="351">
        <f>2280.96/2</f>
        <v>1140.48</v>
      </c>
      <c r="O14" s="351"/>
      <c r="P14" s="351"/>
      <c r="Q14" s="351"/>
      <c r="IX14" s="361"/>
      <c r="IY14" s="346" t="s">
        <v>67</v>
      </c>
      <c r="IZ14" s="346"/>
      <c r="JA14" s="346"/>
      <c r="JB14" s="346"/>
      <c r="JC14" s="346"/>
      <c r="JD14" s="346"/>
      <c r="JE14" s="361"/>
    </row>
    <row r="15" spans="1:265" s="177" customFormat="1" ht="19.95" customHeight="1">
      <c r="A15" s="440">
        <v>2</v>
      </c>
      <c r="B15" s="441" t="s">
        <v>141</v>
      </c>
      <c r="C15" s="425" t="s">
        <v>70</v>
      </c>
      <c r="D15" s="716" t="s">
        <v>146</v>
      </c>
      <c r="E15" s="442">
        <f>COUNTIFS(Table1351452010[[#All],[Sales]],"คุณนิมิต จุ้ยอยู่ทอง",Table1351452010[[#All],[ค่าเชื่อมสัญญาณ/
ค่าติดตั้ง/
ค่าขายอุปกรณ์]],"&gt;1")</f>
        <v>1</v>
      </c>
      <c r="F15" s="443">
        <f>SUMIF(Table1351452010[[#All],[Sales]],"คุณนิมิต จุ้ยอยู่ทอง",Table1351452010[[#All],[Total
ค่าเชื่มสัญญาณ/ค่าติดตั้ง/
ค่าขายอุปกรณ์
(2)]])</f>
        <v>1752.5</v>
      </c>
      <c r="G15" s="429">
        <v>0</v>
      </c>
      <c r="H15" s="430">
        <f>F15-G15</f>
        <v>1752.5</v>
      </c>
      <c r="I15" s="685" t="s">
        <v>178</v>
      </c>
      <c r="J15" s="359"/>
      <c r="K15" s="358"/>
      <c r="L15" s="358"/>
      <c r="M15" s="380"/>
      <c r="N15" s="361"/>
      <c r="O15" s="382"/>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61"/>
      <c r="BD15" s="361"/>
      <c r="BE15" s="361"/>
      <c r="BF15" s="361"/>
      <c r="BG15" s="361"/>
      <c r="BH15" s="361"/>
      <c r="BI15" s="361"/>
      <c r="BJ15" s="361"/>
      <c r="BK15" s="361"/>
      <c r="BL15" s="361"/>
      <c r="BM15" s="361"/>
      <c r="BN15" s="361"/>
      <c r="BO15" s="361"/>
      <c r="BP15" s="361"/>
      <c r="BQ15" s="361"/>
      <c r="BR15" s="361"/>
      <c r="BS15" s="361"/>
      <c r="BT15" s="361"/>
      <c r="BU15" s="361"/>
      <c r="BV15" s="361"/>
      <c r="BW15" s="361"/>
      <c r="BX15" s="361"/>
      <c r="BY15" s="361"/>
      <c r="BZ15" s="361"/>
      <c r="CA15" s="361"/>
      <c r="CB15" s="361"/>
      <c r="CC15" s="361"/>
      <c r="CD15" s="361"/>
      <c r="CE15" s="361"/>
      <c r="CF15" s="361"/>
      <c r="CG15" s="361"/>
      <c r="CH15" s="361"/>
      <c r="CI15" s="361"/>
      <c r="CJ15" s="361"/>
      <c r="CK15" s="361"/>
      <c r="CL15" s="361"/>
      <c r="CM15" s="361"/>
      <c r="CN15" s="361"/>
      <c r="CO15" s="361"/>
      <c r="CP15" s="361"/>
      <c r="CQ15" s="361"/>
      <c r="CR15" s="361"/>
      <c r="CS15" s="361"/>
      <c r="CT15" s="361"/>
      <c r="CU15" s="361"/>
      <c r="CV15" s="361"/>
      <c r="CW15" s="361"/>
      <c r="CX15" s="361"/>
      <c r="CY15" s="361"/>
      <c r="CZ15" s="361"/>
      <c r="DA15" s="361"/>
      <c r="DB15" s="361"/>
      <c r="DC15" s="361"/>
      <c r="DD15" s="361"/>
      <c r="DE15" s="361"/>
      <c r="DF15" s="361"/>
      <c r="DG15" s="361"/>
      <c r="DH15" s="361"/>
      <c r="DI15" s="361"/>
      <c r="DJ15" s="361"/>
      <c r="DK15" s="361"/>
      <c r="DL15" s="361"/>
      <c r="DM15" s="361"/>
      <c r="DN15" s="361"/>
      <c r="DO15" s="361"/>
      <c r="DP15" s="361"/>
      <c r="DQ15" s="361"/>
      <c r="DR15" s="361"/>
      <c r="DS15" s="361"/>
      <c r="DT15" s="361"/>
      <c r="DU15" s="361"/>
      <c r="DV15" s="361"/>
      <c r="DW15" s="361"/>
      <c r="DX15" s="361"/>
      <c r="DY15" s="361"/>
      <c r="DZ15" s="361"/>
      <c r="EA15" s="361"/>
      <c r="EB15" s="361"/>
      <c r="EC15" s="361"/>
      <c r="ED15" s="361"/>
      <c r="EE15" s="361"/>
      <c r="EF15" s="361"/>
      <c r="EG15" s="361"/>
      <c r="EH15" s="361"/>
      <c r="EI15" s="361"/>
      <c r="EJ15" s="361"/>
      <c r="EK15" s="361"/>
      <c r="EL15" s="361"/>
      <c r="EM15" s="361"/>
      <c r="EN15" s="361"/>
      <c r="EO15" s="361"/>
      <c r="EP15" s="361"/>
      <c r="EQ15" s="361"/>
      <c r="ER15" s="361"/>
      <c r="ES15" s="361"/>
      <c r="ET15" s="361"/>
      <c r="EU15" s="361"/>
      <c r="EV15" s="361"/>
      <c r="EW15" s="361"/>
      <c r="EX15" s="361"/>
      <c r="EY15" s="361"/>
      <c r="EZ15" s="361"/>
      <c r="FA15" s="361"/>
      <c r="FB15" s="361"/>
      <c r="FC15" s="361"/>
      <c r="FD15" s="361"/>
      <c r="FE15" s="361"/>
      <c r="FF15" s="361"/>
      <c r="FG15" s="361"/>
      <c r="FH15" s="361"/>
      <c r="FI15" s="361"/>
      <c r="FJ15" s="361"/>
      <c r="FK15" s="361"/>
      <c r="FL15" s="361"/>
      <c r="FM15" s="361"/>
      <c r="FN15" s="361"/>
      <c r="FO15" s="361"/>
      <c r="FP15" s="361"/>
      <c r="FQ15" s="361"/>
      <c r="FR15" s="361"/>
      <c r="FS15" s="361"/>
      <c r="FT15" s="361"/>
      <c r="FU15" s="361"/>
      <c r="FV15" s="361"/>
      <c r="FW15" s="361"/>
      <c r="FX15" s="361"/>
      <c r="FY15" s="361"/>
      <c r="FZ15" s="361"/>
      <c r="GA15" s="361"/>
      <c r="GB15" s="361"/>
      <c r="GC15" s="361"/>
      <c r="GD15" s="361"/>
      <c r="GE15" s="361"/>
      <c r="GF15" s="361"/>
      <c r="GG15" s="361"/>
      <c r="GH15" s="361"/>
      <c r="GI15" s="361"/>
      <c r="GJ15" s="361"/>
      <c r="GK15" s="361"/>
      <c r="GL15" s="361"/>
      <c r="GM15" s="361"/>
      <c r="GN15" s="361"/>
      <c r="GO15" s="361"/>
      <c r="GP15" s="361"/>
      <c r="GQ15" s="361"/>
      <c r="GR15" s="361"/>
      <c r="GS15" s="361"/>
      <c r="GT15" s="361"/>
      <c r="GU15" s="361"/>
      <c r="GV15" s="361"/>
      <c r="GW15" s="361"/>
      <c r="GX15" s="361"/>
      <c r="GY15" s="361"/>
      <c r="GZ15" s="361"/>
      <c r="HA15" s="361"/>
      <c r="HB15" s="361"/>
      <c r="HC15" s="361"/>
      <c r="HD15" s="361"/>
      <c r="HE15" s="361"/>
      <c r="HF15" s="361"/>
      <c r="HG15" s="361"/>
      <c r="HH15" s="361"/>
      <c r="HI15" s="361"/>
      <c r="HJ15" s="361"/>
      <c r="HK15" s="361"/>
      <c r="HL15" s="361"/>
      <c r="HM15" s="361"/>
      <c r="HN15" s="361"/>
      <c r="HO15" s="361"/>
      <c r="HP15" s="361"/>
      <c r="HQ15" s="361"/>
      <c r="HR15" s="361"/>
      <c r="HS15" s="361"/>
      <c r="HT15" s="361"/>
      <c r="HU15" s="361"/>
      <c r="HV15" s="361"/>
      <c r="HW15" s="361"/>
      <c r="HX15" s="361"/>
      <c r="HY15" s="361"/>
      <c r="HZ15" s="361"/>
      <c r="IA15" s="361"/>
      <c r="IB15" s="361"/>
      <c r="IC15" s="361"/>
      <c r="ID15" s="361"/>
      <c r="IE15" s="361"/>
      <c r="IF15" s="361"/>
      <c r="IG15" s="361"/>
      <c r="IH15" s="361"/>
      <c r="II15" s="361"/>
      <c r="IJ15" s="361"/>
      <c r="IK15" s="361"/>
      <c r="IL15" s="361"/>
      <c r="IM15" s="361"/>
      <c r="IN15" s="361"/>
      <c r="IO15" s="361"/>
      <c r="IP15" s="383"/>
      <c r="IQ15" s="383"/>
      <c r="IR15" s="383"/>
      <c r="IS15" s="383"/>
      <c r="IT15" s="383"/>
      <c r="IU15" s="383"/>
      <c r="IV15" s="383"/>
      <c r="IW15" s="383"/>
      <c r="IX15" s="384"/>
      <c r="IY15" s="355" t="s">
        <v>180</v>
      </c>
      <c r="IZ15" s="355"/>
      <c r="JA15" s="355"/>
      <c r="JB15" s="355"/>
      <c r="JC15" s="355"/>
      <c r="JD15" s="355"/>
      <c r="JE15" s="383"/>
    </row>
    <row r="16" spans="1:265" s="179" customFormat="1" ht="19.95" customHeight="1">
      <c r="A16" s="444"/>
      <c r="B16" s="333" t="s">
        <v>142</v>
      </c>
      <c r="C16" s="328" t="s">
        <v>71</v>
      </c>
      <c r="D16" s="717" t="s">
        <v>147</v>
      </c>
      <c r="E16" s="445">
        <f>COUNTIFS(Table1351452010[[#All],[Sales]],"คุณธวัช มีแสง",Table1351452010[[#All],[ค่าเชื่อมสัญญาณ/
ค่าติดตั้ง/
ค่าขายอุปกรณ์]],"&gt;1")</f>
        <v>0</v>
      </c>
      <c r="F16" s="446">
        <f>SUMIF(Table1351452010[[#All],[Sales]],"คุณธวัช มีแสง",Table1351452010[[#All],[Total
ค่าเชื่มสัญญาณ/ค่าติดตั้ง/
ค่าขายอุปกรณ์
(2)]])</f>
        <v>0</v>
      </c>
      <c r="G16" s="433">
        <v>0</v>
      </c>
      <c r="H16" s="435">
        <f t="shared" ref="H16:H24" si="2">F16-G16</f>
        <v>0</v>
      </c>
      <c r="I16" s="359"/>
      <c r="J16" s="359"/>
      <c r="K16" s="358"/>
      <c r="L16" s="358"/>
      <c r="M16" s="380"/>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361"/>
      <c r="BI16" s="361"/>
      <c r="BJ16" s="361"/>
      <c r="BK16" s="361"/>
      <c r="BL16" s="361"/>
      <c r="BM16" s="361"/>
      <c r="BN16" s="361"/>
      <c r="BO16" s="361"/>
      <c r="BP16" s="361"/>
      <c r="BQ16" s="361"/>
      <c r="BR16" s="361"/>
      <c r="BS16" s="361"/>
      <c r="BT16" s="361"/>
      <c r="BU16" s="361"/>
      <c r="BV16" s="361"/>
      <c r="BW16" s="361"/>
      <c r="BX16" s="361"/>
      <c r="BY16" s="361"/>
      <c r="BZ16" s="361"/>
      <c r="CA16" s="361"/>
      <c r="CB16" s="361"/>
      <c r="CC16" s="361"/>
      <c r="CD16" s="361"/>
      <c r="CE16" s="361"/>
      <c r="CF16" s="361"/>
      <c r="CG16" s="361"/>
      <c r="CH16" s="361"/>
      <c r="CI16" s="361"/>
      <c r="CJ16" s="361"/>
      <c r="CK16" s="361"/>
      <c r="CL16" s="361"/>
      <c r="CM16" s="361"/>
      <c r="CN16" s="361"/>
      <c r="CO16" s="361"/>
      <c r="CP16" s="361"/>
      <c r="CQ16" s="361"/>
      <c r="CR16" s="361"/>
      <c r="CS16" s="361"/>
      <c r="CT16" s="361"/>
      <c r="CU16" s="361"/>
      <c r="CV16" s="361"/>
      <c r="CW16" s="361"/>
      <c r="CX16" s="361"/>
      <c r="CY16" s="361"/>
      <c r="CZ16" s="361"/>
      <c r="DA16" s="361"/>
      <c r="DB16" s="361"/>
      <c r="DC16" s="361"/>
      <c r="DD16" s="361"/>
      <c r="DE16" s="361"/>
      <c r="DF16" s="361"/>
      <c r="DG16" s="361"/>
      <c r="DH16" s="361"/>
      <c r="DI16" s="361"/>
      <c r="DJ16" s="361"/>
      <c r="DK16" s="361"/>
      <c r="DL16" s="361"/>
      <c r="DM16" s="361"/>
      <c r="DN16" s="361"/>
      <c r="DO16" s="361"/>
      <c r="DP16" s="361"/>
      <c r="DQ16" s="361"/>
      <c r="DR16" s="361"/>
      <c r="DS16" s="361"/>
      <c r="DT16" s="361"/>
      <c r="DU16" s="361"/>
      <c r="DV16" s="361"/>
      <c r="DW16" s="361"/>
      <c r="DX16" s="361"/>
      <c r="DY16" s="361"/>
      <c r="DZ16" s="361"/>
      <c r="EA16" s="361"/>
      <c r="EB16" s="361"/>
      <c r="EC16" s="361"/>
      <c r="ED16" s="361"/>
      <c r="EE16" s="361"/>
      <c r="EF16" s="361"/>
      <c r="EG16" s="361"/>
      <c r="EH16" s="361"/>
      <c r="EI16" s="361"/>
      <c r="EJ16" s="361"/>
      <c r="EK16" s="361"/>
      <c r="EL16" s="361"/>
      <c r="EM16" s="361"/>
      <c r="EN16" s="361"/>
      <c r="EO16" s="361"/>
      <c r="EP16" s="361"/>
      <c r="EQ16" s="361"/>
      <c r="ER16" s="361"/>
      <c r="ES16" s="361"/>
      <c r="ET16" s="361"/>
      <c r="EU16" s="361"/>
      <c r="EV16" s="361"/>
      <c r="EW16" s="361"/>
      <c r="EX16" s="361"/>
      <c r="EY16" s="361"/>
      <c r="EZ16" s="361"/>
      <c r="FA16" s="361"/>
      <c r="FB16" s="361"/>
      <c r="FC16" s="361"/>
      <c r="FD16" s="361"/>
      <c r="FE16" s="361"/>
      <c r="FF16" s="361"/>
      <c r="FG16" s="361"/>
      <c r="FH16" s="361"/>
      <c r="FI16" s="361"/>
      <c r="FJ16" s="361"/>
      <c r="FK16" s="361"/>
      <c r="FL16" s="361"/>
      <c r="FM16" s="361"/>
      <c r="FN16" s="361"/>
      <c r="FO16" s="361"/>
      <c r="FP16" s="361"/>
      <c r="FQ16" s="361"/>
      <c r="FR16" s="361"/>
      <c r="FS16" s="361"/>
      <c r="FT16" s="361"/>
      <c r="FU16" s="361"/>
      <c r="FV16" s="361"/>
      <c r="FW16" s="361"/>
      <c r="FX16" s="361"/>
      <c r="FY16" s="361"/>
      <c r="FZ16" s="361"/>
      <c r="GA16" s="361"/>
      <c r="GB16" s="361"/>
      <c r="GC16" s="361"/>
      <c r="GD16" s="361"/>
      <c r="GE16" s="361"/>
      <c r="GF16" s="361"/>
      <c r="GG16" s="361"/>
      <c r="GH16" s="361"/>
      <c r="GI16" s="361"/>
      <c r="GJ16" s="361"/>
      <c r="GK16" s="361"/>
      <c r="GL16" s="361"/>
      <c r="GM16" s="361"/>
      <c r="GN16" s="361"/>
      <c r="GO16" s="361"/>
      <c r="GP16" s="361"/>
      <c r="GQ16" s="361"/>
      <c r="GR16" s="361"/>
      <c r="GS16" s="361"/>
      <c r="GT16" s="361"/>
      <c r="GU16" s="361"/>
      <c r="GV16" s="361"/>
      <c r="GW16" s="361"/>
      <c r="GX16" s="361"/>
      <c r="GY16" s="361"/>
      <c r="GZ16" s="361"/>
      <c r="HA16" s="361"/>
      <c r="HB16" s="361"/>
      <c r="HC16" s="361"/>
      <c r="HD16" s="361"/>
      <c r="HE16" s="361"/>
      <c r="HF16" s="361"/>
      <c r="HG16" s="361"/>
      <c r="HH16" s="361"/>
      <c r="HI16" s="361"/>
      <c r="HJ16" s="361"/>
      <c r="HK16" s="361"/>
      <c r="HL16" s="361"/>
      <c r="HM16" s="361"/>
      <c r="HN16" s="361"/>
      <c r="HO16" s="361"/>
      <c r="HP16" s="361"/>
      <c r="HQ16" s="361"/>
      <c r="HR16" s="361"/>
      <c r="HS16" s="361"/>
      <c r="HT16" s="361"/>
      <c r="HU16" s="361"/>
      <c r="HV16" s="361"/>
      <c r="HW16" s="361"/>
      <c r="HX16" s="361"/>
      <c r="HY16" s="361"/>
      <c r="HZ16" s="361"/>
      <c r="IA16" s="361"/>
      <c r="IB16" s="361"/>
      <c r="IC16" s="361"/>
      <c r="ID16" s="361"/>
      <c r="IE16" s="361"/>
      <c r="IF16" s="361"/>
      <c r="IG16" s="361"/>
      <c r="IH16" s="361"/>
      <c r="II16" s="361"/>
      <c r="IJ16" s="361"/>
      <c r="IK16" s="361"/>
      <c r="IL16" s="361"/>
      <c r="IM16" s="361"/>
      <c r="IN16" s="361"/>
      <c r="IO16" s="361"/>
      <c r="IP16" s="384"/>
      <c r="IQ16" s="384"/>
      <c r="IR16" s="384"/>
      <c r="IS16" s="384"/>
      <c r="IT16" s="384"/>
      <c r="IU16" s="384"/>
      <c r="IV16" s="384"/>
      <c r="IW16" s="384"/>
      <c r="IX16" s="384"/>
      <c r="IY16" s="346" t="s">
        <v>70</v>
      </c>
      <c r="IZ16" s="346"/>
      <c r="JA16" s="346"/>
      <c r="JB16" s="346"/>
      <c r="JC16" s="346"/>
      <c r="JD16" s="346"/>
      <c r="JE16" s="384"/>
    </row>
    <row r="17" spans="1:265" s="179" customFormat="1" ht="19.95" customHeight="1">
      <c r="A17" s="444"/>
      <c r="B17" s="333" t="s">
        <v>143</v>
      </c>
      <c r="C17" s="328" t="s">
        <v>73</v>
      </c>
      <c r="D17" s="717" t="s">
        <v>148</v>
      </c>
      <c r="E17" s="445">
        <f>COUNTIFS(Table1351452010[[#All],[Sales]],"คุณนิยนต์ อยู่ทะเล",Table1351452010[[#All],[ค่าเชื่อมสัญญาณ/
ค่าติดตั้ง/
ค่าขายอุปกรณ์]],"&gt;1")</f>
        <v>0</v>
      </c>
      <c r="F17" s="446">
        <f>SUMIF(Table1351452010[[#All],[Sales]],"คุณนิยนต์ อยู่ทะเล",Table1351452010[[#All],[Total
ค่าเชื่มสัญญาณ/ค่าติดตั้ง/
ค่าขายอุปกรณ์
(2)]])</f>
        <v>0</v>
      </c>
      <c r="G17" s="433">
        <v>0</v>
      </c>
      <c r="H17" s="435">
        <f t="shared" si="2"/>
        <v>0</v>
      </c>
      <c r="I17" s="359"/>
      <c r="J17" s="359"/>
      <c r="K17" s="359"/>
      <c r="L17" s="359"/>
      <c r="M17" s="380"/>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c r="AW17" s="361"/>
      <c r="AX17" s="361"/>
      <c r="AY17" s="361"/>
      <c r="AZ17" s="361"/>
      <c r="BA17" s="361"/>
      <c r="BB17" s="361"/>
      <c r="BC17" s="361"/>
      <c r="BD17" s="361"/>
      <c r="BE17" s="361"/>
      <c r="BF17" s="361"/>
      <c r="BG17" s="361"/>
      <c r="BH17" s="361"/>
      <c r="BI17" s="361"/>
      <c r="BJ17" s="361"/>
      <c r="BK17" s="361"/>
      <c r="BL17" s="361"/>
      <c r="BM17" s="361"/>
      <c r="BN17" s="361"/>
      <c r="BO17" s="361"/>
      <c r="BP17" s="361"/>
      <c r="BQ17" s="361"/>
      <c r="BR17" s="361"/>
      <c r="BS17" s="361"/>
      <c r="BT17" s="361"/>
      <c r="BU17" s="361"/>
      <c r="BV17" s="361"/>
      <c r="BW17" s="361"/>
      <c r="BX17" s="361"/>
      <c r="BY17" s="361"/>
      <c r="BZ17" s="361"/>
      <c r="CA17" s="361"/>
      <c r="CB17" s="361"/>
      <c r="CC17" s="361"/>
      <c r="CD17" s="361"/>
      <c r="CE17" s="361"/>
      <c r="CF17" s="361"/>
      <c r="CG17" s="361"/>
      <c r="CH17" s="361"/>
      <c r="CI17" s="361"/>
      <c r="CJ17" s="361"/>
      <c r="CK17" s="361"/>
      <c r="CL17" s="361"/>
      <c r="CM17" s="361"/>
      <c r="CN17" s="361"/>
      <c r="CO17" s="361"/>
      <c r="CP17" s="361"/>
      <c r="CQ17" s="361"/>
      <c r="CR17" s="361"/>
      <c r="CS17" s="361"/>
      <c r="CT17" s="361"/>
      <c r="CU17" s="361"/>
      <c r="CV17" s="361"/>
      <c r="CW17" s="361"/>
      <c r="CX17" s="361"/>
      <c r="CY17" s="361"/>
      <c r="CZ17" s="361"/>
      <c r="DA17" s="361"/>
      <c r="DB17" s="361"/>
      <c r="DC17" s="361"/>
      <c r="DD17" s="361"/>
      <c r="DE17" s="361"/>
      <c r="DF17" s="361"/>
      <c r="DG17" s="361"/>
      <c r="DH17" s="361"/>
      <c r="DI17" s="361"/>
      <c r="DJ17" s="361"/>
      <c r="DK17" s="361"/>
      <c r="DL17" s="361"/>
      <c r="DM17" s="361"/>
      <c r="DN17" s="361"/>
      <c r="DO17" s="361"/>
      <c r="DP17" s="361"/>
      <c r="DQ17" s="361"/>
      <c r="DR17" s="361"/>
      <c r="DS17" s="361"/>
      <c r="DT17" s="361"/>
      <c r="DU17" s="361"/>
      <c r="DV17" s="361"/>
      <c r="DW17" s="361"/>
      <c r="DX17" s="361"/>
      <c r="DY17" s="361"/>
      <c r="DZ17" s="361"/>
      <c r="EA17" s="361"/>
      <c r="EB17" s="361"/>
      <c r="EC17" s="361"/>
      <c r="ED17" s="361"/>
      <c r="EE17" s="361"/>
      <c r="EF17" s="361"/>
      <c r="EG17" s="361"/>
      <c r="EH17" s="361"/>
      <c r="EI17" s="361"/>
      <c r="EJ17" s="361"/>
      <c r="EK17" s="361"/>
      <c r="EL17" s="361"/>
      <c r="EM17" s="361"/>
      <c r="EN17" s="361"/>
      <c r="EO17" s="361"/>
      <c r="EP17" s="361"/>
      <c r="EQ17" s="361"/>
      <c r="ER17" s="361"/>
      <c r="ES17" s="361"/>
      <c r="ET17" s="361"/>
      <c r="EU17" s="361"/>
      <c r="EV17" s="361"/>
      <c r="EW17" s="361"/>
      <c r="EX17" s="361"/>
      <c r="EY17" s="361"/>
      <c r="EZ17" s="361"/>
      <c r="FA17" s="361"/>
      <c r="FB17" s="361"/>
      <c r="FC17" s="361"/>
      <c r="FD17" s="361"/>
      <c r="FE17" s="361"/>
      <c r="FF17" s="361"/>
      <c r="FG17" s="361"/>
      <c r="FH17" s="361"/>
      <c r="FI17" s="361"/>
      <c r="FJ17" s="361"/>
      <c r="FK17" s="361"/>
      <c r="FL17" s="361"/>
      <c r="FM17" s="361"/>
      <c r="FN17" s="361"/>
      <c r="FO17" s="361"/>
      <c r="FP17" s="361"/>
      <c r="FQ17" s="361"/>
      <c r="FR17" s="361"/>
      <c r="FS17" s="361"/>
      <c r="FT17" s="361"/>
      <c r="FU17" s="361"/>
      <c r="FV17" s="361"/>
      <c r="FW17" s="361"/>
      <c r="FX17" s="361"/>
      <c r="FY17" s="361"/>
      <c r="FZ17" s="361"/>
      <c r="GA17" s="361"/>
      <c r="GB17" s="361"/>
      <c r="GC17" s="361"/>
      <c r="GD17" s="361"/>
      <c r="GE17" s="361"/>
      <c r="GF17" s="361"/>
      <c r="GG17" s="361"/>
      <c r="GH17" s="361"/>
      <c r="GI17" s="361"/>
      <c r="GJ17" s="361"/>
      <c r="GK17" s="361"/>
      <c r="GL17" s="361"/>
      <c r="GM17" s="361"/>
      <c r="GN17" s="361"/>
      <c r="GO17" s="361"/>
      <c r="GP17" s="361"/>
      <c r="GQ17" s="361"/>
      <c r="GR17" s="361"/>
      <c r="GS17" s="361"/>
      <c r="GT17" s="361"/>
      <c r="GU17" s="361"/>
      <c r="GV17" s="361"/>
      <c r="GW17" s="361"/>
      <c r="GX17" s="361"/>
      <c r="GY17" s="361"/>
      <c r="GZ17" s="361"/>
      <c r="HA17" s="361"/>
      <c r="HB17" s="361"/>
      <c r="HC17" s="361"/>
      <c r="HD17" s="361"/>
      <c r="HE17" s="361"/>
      <c r="HF17" s="361"/>
      <c r="HG17" s="361"/>
      <c r="HH17" s="361"/>
      <c r="HI17" s="361"/>
      <c r="HJ17" s="361"/>
      <c r="HK17" s="361"/>
      <c r="HL17" s="361"/>
      <c r="HM17" s="361"/>
      <c r="HN17" s="361"/>
      <c r="HO17" s="361"/>
      <c r="HP17" s="361"/>
      <c r="HQ17" s="361"/>
      <c r="HR17" s="361"/>
      <c r="HS17" s="361"/>
      <c r="HT17" s="361"/>
      <c r="HU17" s="361"/>
      <c r="HV17" s="361"/>
      <c r="HW17" s="361"/>
      <c r="HX17" s="361"/>
      <c r="HY17" s="361"/>
      <c r="HZ17" s="361"/>
      <c r="IA17" s="361"/>
      <c r="IB17" s="361"/>
      <c r="IC17" s="361"/>
      <c r="ID17" s="361"/>
      <c r="IE17" s="361"/>
      <c r="IF17" s="361"/>
      <c r="IG17" s="361"/>
      <c r="IH17" s="361"/>
      <c r="II17" s="361"/>
      <c r="IJ17" s="361"/>
      <c r="IK17" s="361"/>
      <c r="IL17" s="361"/>
      <c r="IM17" s="361"/>
      <c r="IN17" s="361"/>
      <c r="IO17" s="361"/>
      <c r="IP17" s="384"/>
      <c r="IQ17" s="384"/>
      <c r="IR17" s="384"/>
      <c r="IS17" s="384"/>
      <c r="IT17" s="384"/>
      <c r="IU17" s="384"/>
      <c r="IV17" s="384"/>
      <c r="IW17" s="384"/>
      <c r="IX17" s="384"/>
      <c r="IY17" s="346" t="s">
        <v>71</v>
      </c>
      <c r="IZ17" s="346"/>
      <c r="JA17" s="346"/>
      <c r="JB17" s="346"/>
      <c r="JC17" s="346"/>
      <c r="JD17" s="346"/>
      <c r="JE17" s="384"/>
    </row>
    <row r="18" spans="1:265" s="179" customFormat="1" ht="19.95" customHeight="1">
      <c r="A18" s="444"/>
      <c r="B18" s="333" t="s">
        <v>40</v>
      </c>
      <c r="C18" s="328" t="s">
        <v>74</v>
      </c>
      <c r="D18" s="178"/>
      <c r="E18" s="445">
        <f>COUNTIFS(Table1351452010[[#All],[Sales]],"คุณจินตนา อ้อยหวาน",Table1351452010[[#All],[ค่าเชื่อมสัญญาณ/
ค่าติดตั้ง/
ค่าขายอุปกรณ์]],"&gt;1")</f>
        <v>1</v>
      </c>
      <c r="F18" s="446">
        <f>SUMIF(Table1351452010[[#All],[Sales]],"คุณจินตนา อ้อยหวาน",Table1351452010[[#All],[Total
ค่าเชื่มสัญญาณ/ค่าติดตั้ง/
ค่าขายอุปกรณ์
(2)]])</f>
        <v>3100</v>
      </c>
      <c r="G18" s="433">
        <v>0</v>
      </c>
      <c r="H18" s="435">
        <f t="shared" si="2"/>
        <v>3100</v>
      </c>
      <c r="I18" s="359"/>
      <c r="J18" s="359"/>
      <c r="K18" s="359"/>
      <c r="L18" s="359"/>
      <c r="M18" s="678"/>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c r="AW18" s="361"/>
      <c r="AX18" s="361"/>
      <c r="AY18" s="361"/>
      <c r="AZ18" s="361"/>
      <c r="BA18" s="361"/>
      <c r="BB18" s="361"/>
      <c r="BC18" s="361"/>
      <c r="BD18" s="361"/>
      <c r="BE18" s="361"/>
      <c r="BF18" s="361"/>
      <c r="BG18" s="361"/>
      <c r="BH18" s="361"/>
      <c r="BI18" s="361"/>
      <c r="BJ18" s="361"/>
      <c r="BK18" s="361"/>
      <c r="BL18" s="361"/>
      <c r="BM18" s="361"/>
      <c r="BN18" s="361"/>
      <c r="BO18" s="361"/>
      <c r="BP18" s="361"/>
      <c r="BQ18" s="361"/>
      <c r="BR18" s="361"/>
      <c r="BS18" s="361"/>
      <c r="BT18" s="361"/>
      <c r="BU18" s="361"/>
      <c r="BV18" s="361"/>
      <c r="BW18" s="361"/>
      <c r="BX18" s="361"/>
      <c r="BY18" s="361"/>
      <c r="BZ18" s="361"/>
      <c r="CA18" s="361"/>
      <c r="CB18" s="361"/>
      <c r="CC18" s="361"/>
      <c r="CD18" s="361"/>
      <c r="CE18" s="361"/>
      <c r="CF18" s="361"/>
      <c r="CG18" s="361"/>
      <c r="CH18" s="361"/>
      <c r="CI18" s="361"/>
      <c r="CJ18" s="361"/>
      <c r="CK18" s="361"/>
      <c r="CL18" s="361"/>
      <c r="CM18" s="361"/>
      <c r="CN18" s="361"/>
      <c r="CO18" s="361"/>
      <c r="CP18" s="361"/>
      <c r="CQ18" s="361"/>
      <c r="CR18" s="361"/>
      <c r="CS18" s="361"/>
      <c r="CT18" s="361"/>
      <c r="CU18" s="361"/>
      <c r="CV18" s="361"/>
      <c r="CW18" s="361"/>
      <c r="CX18" s="361"/>
      <c r="CY18" s="361"/>
      <c r="CZ18" s="361"/>
      <c r="DA18" s="361"/>
      <c r="DB18" s="361"/>
      <c r="DC18" s="361"/>
      <c r="DD18" s="361"/>
      <c r="DE18" s="361"/>
      <c r="DF18" s="361"/>
      <c r="DG18" s="361"/>
      <c r="DH18" s="361"/>
      <c r="DI18" s="361"/>
      <c r="DJ18" s="361"/>
      <c r="DK18" s="361"/>
      <c r="DL18" s="361"/>
      <c r="DM18" s="361"/>
      <c r="DN18" s="361"/>
      <c r="DO18" s="361"/>
      <c r="DP18" s="361"/>
      <c r="DQ18" s="361"/>
      <c r="DR18" s="361"/>
      <c r="DS18" s="361"/>
      <c r="DT18" s="361"/>
      <c r="DU18" s="361"/>
      <c r="DV18" s="361"/>
      <c r="DW18" s="361"/>
      <c r="DX18" s="361"/>
      <c r="DY18" s="361"/>
      <c r="DZ18" s="361"/>
      <c r="EA18" s="361"/>
      <c r="EB18" s="361"/>
      <c r="EC18" s="361"/>
      <c r="ED18" s="361"/>
      <c r="EE18" s="361"/>
      <c r="EF18" s="361"/>
      <c r="EG18" s="361"/>
      <c r="EH18" s="361"/>
      <c r="EI18" s="361"/>
      <c r="EJ18" s="361"/>
      <c r="EK18" s="361"/>
      <c r="EL18" s="361"/>
      <c r="EM18" s="361"/>
      <c r="EN18" s="361"/>
      <c r="EO18" s="361"/>
      <c r="EP18" s="361"/>
      <c r="EQ18" s="361"/>
      <c r="ER18" s="361"/>
      <c r="ES18" s="361"/>
      <c r="ET18" s="361"/>
      <c r="EU18" s="361"/>
      <c r="EV18" s="361"/>
      <c r="EW18" s="361"/>
      <c r="EX18" s="361"/>
      <c r="EY18" s="361"/>
      <c r="EZ18" s="361"/>
      <c r="FA18" s="361"/>
      <c r="FB18" s="361"/>
      <c r="FC18" s="361"/>
      <c r="FD18" s="361"/>
      <c r="FE18" s="361"/>
      <c r="FF18" s="361"/>
      <c r="FG18" s="361"/>
      <c r="FH18" s="361"/>
      <c r="FI18" s="361"/>
      <c r="FJ18" s="361"/>
      <c r="FK18" s="361"/>
      <c r="FL18" s="361"/>
      <c r="FM18" s="361"/>
      <c r="FN18" s="361"/>
      <c r="FO18" s="361"/>
      <c r="FP18" s="361"/>
      <c r="FQ18" s="361"/>
      <c r="FR18" s="361"/>
      <c r="FS18" s="361"/>
      <c r="FT18" s="361"/>
      <c r="FU18" s="361"/>
      <c r="FV18" s="361"/>
      <c r="FW18" s="361"/>
      <c r="FX18" s="361"/>
      <c r="FY18" s="361"/>
      <c r="FZ18" s="361"/>
      <c r="GA18" s="361"/>
      <c r="GB18" s="361"/>
      <c r="GC18" s="361"/>
      <c r="GD18" s="361"/>
      <c r="GE18" s="361"/>
      <c r="GF18" s="361"/>
      <c r="GG18" s="361"/>
      <c r="GH18" s="361"/>
      <c r="GI18" s="361"/>
      <c r="GJ18" s="361"/>
      <c r="GK18" s="361"/>
      <c r="GL18" s="361"/>
      <c r="GM18" s="361"/>
      <c r="GN18" s="361"/>
      <c r="GO18" s="361"/>
      <c r="GP18" s="361"/>
      <c r="GQ18" s="361"/>
      <c r="GR18" s="361"/>
      <c r="GS18" s="361"/>
      <c r="GT18" s="361"/>
      <c r="GU18" s="361"/>
      <c r="GV18" s="361"/>
      <c r="GW18" s="361"/>
      <c r="GX18" s="361"/>
      <c r="GY18" s="361"/>
      <c r="GZ18" s="361"/>
      <c r="HA18" s="361"/>
      <c r="HB18" s="361"/>
      <c r="HC18" s="361"/>
      <c r="HD18" s="361"/>
      <c r="HE18" s="361"/>
      <c r="HF18" s="361"/>
      <c r="HG18" s="361"/>
      <c r="HH18" s="361"/>
      <c r="HI18" s="361"/>
      <c r="HJ18" s="361"/>
      <c r="HK18" s="361"/>
      <c r="HL18" s="361"/>
      <c r="HM18" s="361"/>
      <c r="HN18" s="361"/>
      <c r="HO18" s="361"/>
      <c r="HP18" s="361"/>
      <c r="HQ18" s="361"/>
      <c r="HR18" s="361"/>
      <c r="HS18" s="361"/>
      <c r="HT18" s="361"/>
      <c r="HU18" s="361"/>
      <c r="HV18" s="361"/>
      <c r="HW18" s="361"/>
      <c r="HX18" s="361"/>
      <c r="HY18" s="361"/>
      <c r="HZ18" s="361"/>
      <c r="IA18" s="361"/>
      <c r="IB18" s="361"/>
      <c r="IC18" s="361"/>
      <c r="ID18" s="361"/>
      <c r="IE18" s="361"/>
      <c r="IF18" s="361"/>
      <c r="IG18" s="361"/>
      <c r="IH18" s="361"/>
      <c r="II18" s="361"/>
      <c r="IJ18" s="361"/>
      <c r="IK18" s="361"/>
      <c r="IL18" s="361"/>
      <c r="IM18" s="361"/>
      <c r="IN18" s="361"/>
      <c r="IO18" s="361"/>
      <c r="IP18" s="384"/>
      <c r="IQ18" s="384"/>
      <c r="IR18" s="384"/>
      <c r="IS18" s="384"/>
      <c r="IT18" s="384"/>
      <c r="IU18" s="384"/>
      <c r="IV18" s="384"/>
      <c r="IW18" s="384"/>
      <c r="IX18" s="384"/>
      <c r="IY18" s="346" t="s">
        <v>73</v>
      </c>
      <c r="IZ18" s="346"/>
      <c r="JA18" s="346"/>
      <c r="JB18" s="346"/>
      <c r="JC18" s="346"/>
      <c r="JD18" s="346"/>
      <c r="JE18" s="384"/>
    </row>
    <row r="19" spans="1:265" s="179" customFormat="1" ht="19.95" customHeight="1">
      <c r="A19" s="444"/>
      <c r="B19" s="333"/>
      <c r="C19" s="328" t="s">
        <v>75</v>
      </c>
      <c r="D19" s="178"/>
      <c r="E19" s="445">
        <f>COUNTIFS(Table1351452010[[#All],[Sales]],"คุณพัชรพรรณ พึ่งพา",Table1351452010[[#All],[ค่าเชื่อมสัญญาณ/
ค่าติดตั้ง/
ค่าขายอุปกรณ์]],"&gt;1")</f>
        <v>2</v>
      </c>
      <c r="F19" s="446">
        <f>SUMIF(Table1351452010[[#All],[Sales]],"คุณพัชรพรรณ พึ่งพา",Table1351452010[[#All],[Total
ค่าเชื่มสัญญาณ/ค่าติดตั้ง/
ค่าขายอุปกรณ์
(2)]])</f>
        <v>4122.5</v>
      </c>
      <c r="G19" s="433">
        <v>0</v>
      </c>
      <c r="H19" s="435">
        <f t="shared" si="2"/>
        <v>4122.5</v>
      </c>
      <c r="I19" s="359"/>
      <c r="J19" s="359"/>
      <c r="K19" s="359"/>
      <c r="L19" s="359"/>
      <c r="M19" s="380"/>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1"/>
      <c r="DJ19" s="361"/>
      <c r="DK19" s="361"/>
      <c r="DL19" s="361"/>
      <c r="DM19" s="361"/>
      <c r="DN19" s="361"/>
      <c r="DO19" s="361"/>
      <c r="DP19" s="361"/>
      <c r="DQ19" s="361"/>
      <c r="DR19" s="361"/>
      <c r="DS19" s="361"/>
      <c r="DT19" s="361"/>
      <c r="DU19" s="361"/>
      <c r="DV19" s="361"/>
      <c r="DW19" s="361"/>
      <c r="DX19" s="361"/>
      <c r="DY19" s="361"/>
      <c r="DZ19" s="361"/>
      <c r="EA19" s="361"/>
      <c r="EB19" s="361"/>
      <c r="EC19" s="361"/>
      <c r="ED19" s="361"/>
      <c r="EE19" s="361"/>
      <c r="EF19" s="361"/>
      <c r="EG19" s="361"/>
      <c r="EH19" s="361"/>
      <c r="EI19" s="361"/>
      <c r="EJ19" s="361"/>
      <c r="EK19" s="361"/>
      <c r="EL19" s="361"/>
      <c r="EM19" s="361"/>
      <c r="EN19" s="361"/>
      <c r="EO19" s="361"/>
      <c r="EP19" s="361"/>
      <c r="EQ19" s="361"/>
      <c r="ER19" s="361"/>
      <c r="ES19" s="361"/>
      <c r="ET19" s="361"/>
      <c r="EU19" s="361"/>
      <c r="EV19" s="361"/>
      <c r="EW19" s="361"/>
      <c r="EX19" s="361"/>
      <c r="EY19" s="361"/>
      <c r="EZ19" s="361"/>
      <c r="FA19" s="361"/>
      <c r="FB19" s="361"/>
      <c r="FC19" s="361"/>
      <c r="FD19" s="361"/>
      <c r="FE19" s="361"/>
      <c r="FF19" s="361"/>
      <c r="FG19" s="361"/>
      <c r="FH19" s="361"/>
      <c r="FI19" s="361"/>
      <c r="FJ19" s="361"/>
      <c r="FK19" s="361"/>
      <c r="FL19" s="361"/>
      <c r="FM19" s="361"/>
      <c r="FN19" s="361"/>
      <c r="FO19" s="361"/>
      <c r="FP19" s="361"/>
      <c r="FQ19" s="361"/>
      <c r="FR19" s="361"/>
      <c r="FS19" s="361"/>
      <c r="FT19" s="361"/>
      <c r="FU19" s="361"/>
      <c r="FV19" s="361"/>
      <c r="FW19" s="361"/>
      <c r="FX19" s="361"/>
      <c r="FY19" s="361"/>
      <c r="FZ19" s="361"/>
      <c r="GA19" s="361"/>
      <c r="GB19" s="361"/>
      <c r="GC19" s="361"/>
      <c r="GD19" s="361"/>
      <c r="GE19" s="361"/>
      <c r="GF19" s="361"/>
      <c r="GG19" s="361"/>
      <c r="GH19" s="361"/>
      <c r="GI19" s="361"/>
      <c r="GJ19" s="361"/>
      <c r="GK19" s="361"/>
      <c r="GL19" s="361"/>
      <c r="GM19" s="361"/>
      <c r="GN19" s="361"/>
      <c r="GO19" s="361"/>
      <c r="GP19" s="361"/>
      <c r="GQ19" s="361"/>
      <c r="GR19" s="361"/>
      <c r="GS19" s="361"/>
      <c r="GT19" s="361"/>
      <c r="GU19" s="361"/>
      <c r="GV19" s="361"/>
      <c r="GW19" s="361"/>
      <c r="GX19" s="361"/>
      <c r="GY19" s="361"/>
      <c r="GZ19" s="361"/>
      <c r="HA19" s="361"/>
      <c r="HB19" s="361"/>
      <c r="HC19" s="361"/>
      <c r="HD19" s="361"/>
      <c r="HE19" s="361"/>
      <c r="HF19" s="361"/>
      <c r="HG19" s="361"/>
      <c r="HH19" s="361"/>
      <c r="HI19" s="361"/>
      <c r="HJ19" s="361"/>
      <c r="HK19" s="361"/>
      <c r="HL19" s="361"/>
      <c r="HM19" s="361"/>
      <c r="HN19" s="361"/>
      <c r="HO19" s="361"/>
      <c r="HP19" s="361"/>
      <c r="HQ19" s="361"/>
      <c r="HR19" s="361"/>
      <c r="HS19" s="361"/>
      <c r="HT19" s="361"/>
      <c r="HU19" s="361"/>
      <c r="HV19" s="361"/>
      <c r="HW19" s="361"/>
      <c r="HX19" s="361"/>
      <c r="HY19" s="361"/>
      <c r="HZ19" s="361"/>
      <c r="IA19" s="361"/>
      <c r="IB19" s="361"/>
      <c r="IC19" s="361"/>
      <c r="ID19" s="361"/>
      <c r="IE19" s="361"/>
      <c r="IF19" s="361"/>
      <c r="IG19" s="361"/>
      <c r="IH19" s="361"/>
      <c r="II19" s="361"/>
      <c r="IJ19" s="361"/>
      <c r="IK19" s="361"/>
      <c r="IL19" s="361"/>
      <c r="IM19" s="361"/>
      <c r="IN19" s="361"/>
      <c r="IO19" s="361"/>
      <c r="IP19" s="384"/>
      <c r="IQ19" s="384"/>
      <c r="IR19" s="384"/>
      <c r="IS19" s="384"/>
      <c r="IT19" s="384"/>
      <c r="IU19" s="384"/>
      <c r="IV19" s="384"/>
      <c r="IW19" s="384"/>
      <c r="IX19" s="384"/>
      <c r="IY19" s="346" t="s">
        <v>74</v>
      </c>
      <c r="IZ19" s="346"/>
      <c r="JA19" s="346"/>
      <c r="JB19" s="346"/>
      <c r="JC19" s="346"/>
      <c r="JD19" s="346"/>
      <c r="JE19" s="384"/>
    </row>
    <row r="20" spans="1:265" s="179" customFormat="1" ht="19.95" customHeight="1">
      <c r="A20" s="444"/>
      <c r="B20" s="333"/>
      <c r="C20" s="328" t="s">
        <v>152</v>
      </c>
      <c r="D20" s="178"/>
      <c r="E20" s="445">
        <f>COUNTIFS(Table1351452010[[#All],[Sales]],"คุณนรินทร์ ปิงมูล",Table1351452010[[#All],[ค่าเชื่อมสัญญาณ/
ค่าติดตั้ง/
ค่าขายอุปกรณ์]],"&gt;1")</f>
        <v>0</v>
      </c>
      <c r="F20" s="446">
        <f>SUMIF(Table1351452010[[#All],[Sales]],"คุณนรินทร์ ปิงมูล",Table1351452010[[#All],[Total
ค่าเชื่มสัญญาณ/ค่าติดตั้ง/
ค่าขายอุปกรณ์
(2)]])</f>
        <v>0</v>
      </c>
      <c r="G20" s="433">
        <v>0</v>
      </c>
      <c r="H20" s="435">
        <f t="shared" si="2"/>
        <v>0</v>
      </c>
      <c r="I20" s="359"/>
      <c r="J20" s="359"/>
      <c r="K20" s="359"/>
      <c r="L20" s="359"/>
      <c r="M20" s="380"/>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84"/>
      <c r="IQ20" s="384"/>
      <c r="IR20" s="384"/>
      <c r="IS20" s="384"/>
      <c r="IT20" s="384"/>
      <c r="IU20" s="384"/>
      <c r="IV20" s="384"/>
      <c r="IW20" s="384"/>
      <c r="IX20" s="384"/>
      <c r="IY20" s="346" t="s">
        <v>75</v>
      </c>
      <c r="IZ20" s="346"/>
      <c r="JA20" s="346"/>
      <c r="JB20" s="346"/>
      <c r="JC20" s="346"/>
      <c r="JD20" s="346"/>
      <c r="JE20" s="384"/>
    </row>
    <row r="21" spans="1:265" s="179" customFormat="1" ht="19.95" customHeight="1">
      <c r="A21" s="444"/>
      <c r="B21" s="333"/>
      <c r="C21" s="328" t="s">
        <v>130</v>
      </c>
      <c r="D21" s="178"/>
      <c r="E21" s="445">
        <f>COUNTIFS(Table1351452010[[#All],[Sales]],"คุณชนัฐฎา สนคะมี",Table1351452010[[#All],[ค่าเชื่อมสัญญาณ/
ค่าติดตั้ง/
ค่าขายอุปกรณ์]],"&gt;1")</f>
        <v>0</v>
      </c>
      <c r="F21" s="446">
        <f>SUMIF(Table1351452010[[#All],[Sales]],"คุณชนัฐฎา สนคะมี",Table1351452010[[#All],[Total
ค่าเชื่มสัญญาณ/ค่าติดตั้ง/
ค่าขายอุปกรณ์
(2)]])</f>
        <v>0</v>
      </c>
      <c r="G21" s="433">
        <v>0</v>
      </c>
      <c r="H21" s="435">
        <f t="shared" si="2"/>
        <v>0</v>
      </c>
      <c r="I21" s="359"/>
      <c r="J21" s="359"/>
      <c r="K21" s="359"/>
      <c r="L21" s="359"/>
      <c r="M21" s="380"/>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1"/>
      <c r="BG21" s="361"/>
      <c r="BH21" s="361"/>
      <c r="BI21" s="361"/>
      <c r="BJ21" s="361"/>
      <c r="BK21" s="361"/>
      <c r="BL21" s="361"/>
      <c r="BM21" s="361"/>
      <c r="BN21" s="361"/>
      <c r="BO21" s="361"/>
      <c r="BP21" s="361"/>
      <c r="BQ21" s="361"/>
      <c r="BR21" s="361"/>
      <c r="BS21" s="361"/>
      <c r="BT21" s="361"/>
      <c r="BU21" s="361"/>
      <c r="BV21" s="361"/>
      <c r="BW21" s="361"/>
      <c r="BX21" s="361"/>
      <c r="BY21" s="361"/>
      <c r="BZ21" s="361"/>
      <c r="CA21" s="361"/>
      <c r="CB21" s="361"/>
      <c r="CC21" s="361"/>
      <c r="CD21" s="361"/>
      <c r="CE21" s="361"/>
      <c r="CF21" s="361"/>
      <c r="CG21" s="361"/>
      <c r="CH21" s="361"/>
      <c r="CI21" s="361"/>
      <c r="CJ21" s="361"/>
      <c r="CK21" s="361"/>
      <c r="CL21" s="361"/>
      <c r="CM21" s="361"/>
      <c r="CN21" s="361"/>
      <c r="CO21" s="361"/>
      <c r="CP21" s="361"/>
      <c r="CQ21" s="361"/>
      <c r="CR21" s="361"/>
      <c r="CS21" s="361"/>
      <c r="CT21" s="361"/>
      <c r="CU21" s="361"/>
      <c r="CV21" s="361"/>
      <c r="CW21" s="361"/>
      <c r="CX21" s="361"/>
      <c r="CY21" s="361"/>
      <c r="CZ21" s="361"/>
      <c r="DA21" s="361"/>
      <c r="DB21" s="361"/>
      <c r="DC21" s="361"/>
      <c r="DD21" s="361"/>
      <c r="DE21" s="361"/>
      <c r="DF21" s="361"/>
      <c r="DG21" s="361"/>
      <c r="DH21" s="361"/>
      <c r="DI21" s="361"/>
      <c r="DJ21" s="361"/>
      <c r="DK21" s="361"/>
      <c r="DL21" s="361"/>
      <c r="DM21" s="361"/>
      <c r="DN21" s="361"/>
      <c r="DO21" s="361"/>
      <c r="DP21" s="361"/>
      <c r="DQ21" s="361"/>
      <c r="DR21" s="361"/>
      <c r="DS21" s="361"/>
      <c r="DT21" s="361"/>
      <c r="DU21" s="361"/>
      <c r="DV21" s="361"/>
      <c r="DW21" s="361"/>
      <c r="DX21" s="361"/>
      <c r="DY21" s="361"/>
      <c r="DZ21" s="361"/>
      <c r="EA21" s="361"/>
      <c r="EB21" s="361"/>
      <c r="EC21" s="361"/>
      <c r="ED21" s="361"/>
      <c r="EE21" s="361"/>
      <c r="EF21" s="361"/>
      <c r="EG21" s="361"/>
      <c r="EH21" s="361"/>
      <c r="EI21" s="361"/>
      <c r="EJ21" s="361"/>
      <c r="EK21" s="361"/>
      <c r="EL21" s="361"/>
      <c r="EM21" s="361"/>
      <c r="EN21" s="361"/>
      <c r="EO21" s="361"/>
      <c r="EP21" s="361"/>
      <c r="EQ21" s="361"/>
      <c r="ER21" s="361"/>
      <c r="ES21" s="361"/>
      <c r="ET21" s="361"/>
      <c r="EU21" s="361"/>
      <c r="EV21" s="361"/>
      <c r="EW21" s="361"/>
      <c r="EX21" s="361"/>
      <c r="EY21" s="361"/>
      <c r="EZ21" s="361"/>
      <c r="FA21" s="361"/>
      <c r="FB21" s="361"/>
      <c r="FC21" s="361"/>
      <c r="FD21" s="361"/>
      <c r="FE21" s="361"/>
      <c r="FF21" s="361"/>
      <c r="FG21" s="361"/>
      <c r="FH21" s="361"/>
      <c r="FI21" s="361"/>
      <c r="FJ21" s="361"/>
      <c r="FK21" s="361"/>
      <c r="FL21" s="361"/>
      <c r="FM21" s="361"/>
      <c r="FN21" s="361"/>
      <c r="FO21" s="361"/>
      <c r="FP21" s="361"/>
      <c r="FQ21" s="361"/>
      <c r="FR21" s="361"/>
      <c r="FS21" s="361"/>
      <c r="FT21" s="361"/>
      <c r="FU21" s="361"/>
      <c r="FV21" s="361"/>
      <c r="FW21" s="361"/>
      <c r="FX21" s="361"/>
      <c r="FY21" s="361"/>
      <c r="FZ21" s="361"/>
      <c r="GA21" s="361"/>
      <c r="GB21" s="361"/>
      <c r="GC21" s="361"/>
      <c r="GD21" s="361"/>
      <c r="GE21" s="361"/>
      <c r="GF21" s="361"/>
      <c r="GG21" s="361"/>
      <c r="GH21" s="361"/>
      <c r="GI21" s="361"/>
      <c r="GJ21" s="361"/>
      <c r="GK21" s="361"/>
      <c r="GL21" s="361"/>
      <c r="GM21" s="361"/>
      <c r="GN21" s="361"/>
      <c r="GO21" s="361"/>
      <c r="GP21" s="361"/>
      <c r="GQ21" s="361"/>
      <c r="GR21" s="361"/>
      <c r="GS21" s="361"/>
      <c r="GT21" s="361"/>
      <c r="GU21" s="361"/>
      <c r="GV21" s="361"/>
      <c r="GW21" s="361"/>
      <c r="GX21" s="361"/>
      <c r="GY21" s="361"/>
      <c r="GZ21" s="361"/>
      <c r="HA21" s="361"/>
      <c r="HB21" s="361"/>
      <c r="HC21" s="361"/>
      <c r="HD21" s="361"/>
      <c r="HE21" s="361"/>
      <c r="HF21" s="361"/>
      <c r="HG21" s="361"/>
      <c r="HH21" s="361"/>
      <c r="HI21" s="361"/>
      <c r="HJ21" s="361"/>
      <c r="HK21" s="361"/>
      <c r="HL21" s="361"/>
      <c r="HM21" s="361"/>
      <c r="HN21" s="361"/>
      <c r="HO21" s="361"/>
      <c r="HP21" s="361"/>
      <c r="HQ21" s="361"/>
      <c r="HR21" s="361"/>
      <c r="HS21" s="361"/>
      <c r="HT21" s="361"/>
      <c r="HU21" s="361"/>
      <c r="HV21" s="361"/>
      <c r="HW21" s="361"/>
      <c r="HX21" s="361"/>
      <c r="HY21" s="361"/>
      <c r="HZ21" s="361"/>
      <c r="IA21" s="361"/>
      <c r="IB21" s="361"/>
      <c r="IC21" s="361"/>
      <c r="ID21" s="361"/>
      <c r="IE21" s="361"/>
      <c r="IF21" s="361"/>
      <c r="IG21" s="361"/>
      <c r="IH21" s="361"/>
      <c r="II21" s="361"/>
      <c r="IJ21" s="361"/>
      <c r="IK21" s="361"/>
      <c r="IL21" s="361"/>
      <c r="IM21" s="361"/>
      <c r="IN21" s="361"/>
      <c r="IO21" s="361"/>
      <c r="IP21" s="384"/>
      <c r="IQ21" s="384"/>
      <c r="IR21" s="384"/>
      <c r="IS21" s="384"/>
      <c r="IT21" s="384"/>
      <c r="IU21" s="384"/>
      <c r="IV21" s="384"/>
      <c r="IW21" s="384"/>
      <c r="IX21" s="384"/>
      <c r="IY21" s="346" t="s">
        <v>152</v>
      </c>
      <c r="IZ21" s="346"/>
      <c r="JA21" s="346"/>
      <c r="JB21" s="346"/>
      <c r="JC21" s="346"/>
      <c r="JD21" s="346"/>
      <c r="JE21" s="384"/>
    </row>
    <row r="22" spans="1:265" s="179" customFormat="1" ht="19.95" customHeight="1">
      <c r="A22" s="444"/>
      <c r="B22" s="333"/>
      <c r="C22" s="328" t="s">
        <v>151</v>
      </c>
      <c r="D22" s="178"/>
      <c r="E22" s="445">
        <f>COUNTIFS(Table1351452010[[#All],[Sales]],"คุณจิรภิญญา เป็นปึก",Table1351452010[[#All],[ค่าเชื่อมสัญญาณ/
ค่าติดตั้ง/
ค่าขายอุปกรณ์]],"&gt;1")</f>
        <v>0</v>
      </c>
      <c r="F22" s="446">
        <f>SUMIF(Table1351452010[[#All],[Sales]],"คุณจิรภิญญา เป็นปึก",Table1351452010[[#All],[Total
ค่าเชื่มสัญญาณ/ค่าติดตั้ง/
ค่าขายอุปกรณ์
(2)]])</f>
        <v>0</v>
      </c>
      <c r="G22" s="433">
        <v>0</v>
      </c>
      <c r="H22" s="435">
        <f t="shared" si="2"/>
        <v>0</v>
      </c>
      <c r="I22" s="359"/>
      <c r="J22" s="359"/>
      <c r="K22" s="359"/>
      <c r="L22" s="359"/>
      <c r="M22" s="380"/>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c r="BA22" s="361"/>
      <c r="BB22" s="361"/>
      <c r="BC22" s="361"/>
      <c r="BD22" s="361"/>
      <c r="BE22" s="361"/>
      <c r="BF22" s="361"/>
      <c r="BG22" s="361"/>
      <c r="BH22" s="361"/>
      <c r="BI22" s="361"/>
      <c r="BJ22" s="361"/>
      <c r="BK22" s="361"/>
      <c r="BL22" s="361"/>
      <c r="BM22" s="361"/>
      <c r="BN22" s="361"/>
      <c r="BO22" s="361"/>
      <c r="BP22" s="361"/>
      <c r="BQ22" s="361"/>
      <c r="BR22" s="361"/>
      <c r="BS22" s="361"/>
      <c r="BT22" s="361"/>
      <c r="BU22" s="361"/>
      <c r="BV22" s="361"/>
      <c r="BW22" s="361"/>
      <c r="BX22" s="361"/>
      <c r="BY22" s="361"/>
      <c r="BZ22" s="361"/>
      <c r="CA22" s="361"/>
      <c r="CB22" s="361"/>
      <c r="CC22" s="361"/>
      <c r="CD22" s="361"/>
      <c r="CE22" s="361"/>
      <c r="CF22" s="361"/>
      <c r="CG22" s="361"/>
      <c r="CH22" s="361"/>
      <c r="CI22" s="361"/>
      <c r="CJ22" s="361"/>
      <c r="CK22" s="361"/>
      <c r="CL22" s="361"/>
      <c r="CM22" s="361"/>
      <c r="CN22" s="361"/>
      <c r="CO22" s="361"/>
      <c r="CP22" s="361"/>
      <c r="CQ22" s="361"/>
      <c r="CR22" s="361"/>
      <c r="CS22" s="361"/>
      <c r="CT22" s="361"/>
      <c r="CU22" s="361"/>
      <c r="CV22" s="361"/>
      <c r="CW22" s="361"/>
      <c r="CX22" s="361"/>
      <c r="CY22" s="361"/>
      <c r="CZ22" s="361"/>
      <c r="DA22" s="361"/>
      <c r="DB22" s="361"/>
      <c r="DC22" s="361"/>
      <c r="DD22" s="361"/>
      <c r="DE22" s="361"/>
      <c r="DF22" s="361"/>
      <c r="DG22" s="361"/>
      <c r="DH22" s="361"/>
      <c r="DI22" s="361"/>
      <c r="DJ22" s="361"/>
      <c r="DK22" s="361"/>
      <c r="DL22" s="361"/>
      <c r="DM22" s="361"/>
      <c r="DN22" s="361"/>
      <c r="DO22" s="361"/>
      <c r="DP22" s="361"/>
      <c r="DQ22" s="361"/>
      <c r="DR22" s="361"/>
      <c r="DS22" s="361"/>
      <c r="DT22" s="361"/>
      <c r="DU22" s="361"/>
      <c r="DV22" s="361"/>
      <c r="DW22" s="361"/>
      <c r="DX22" s="361"/>
      <c r="DY22" s="361"/>
      <c r="DZ22" s="361"/>
      <c r="EA22" s="361"/>
      <c r="EB22" s="361"/>
      <c r="EC22" s="361"/>
      <c r="ED22" s="361"/>
      <c r="EE22" s="361"/>
      <c r="EF22" s="361"/>
      <c r="EG22" s="361"/>
      <c r="EH22" s="361"/>
      <c r="EI22" s="361"/>
      <c r="EJ22" s="361"/>
      <c r="EK22" s="361"/>
      <c r="EL22" s="361"/>
      <c r="EM22" s="361"/>
      <c r="EN22" s="361"/>
      <c r="EO22" s="361"/>
      <c r="EP22" s="361"/>
      <c r="EQ22" s="361"/>
      <c r="ER22" s="361"/>
      <c r="ES22" s="361"/>
      <c r="ET22" s="361"/>
      <c r="EU22" s="361"/>
      <c r="EV22" s="361"/>
      <c r="EW22" s="361"/>
      <c r="EX22" s="361"/>
      <c r="EY22" s="361"/>
      <c r="EZ22" s="361"/>
      <c r="FA22" s="361"/>
      <c r="FB22" s="361"/>
      <c r="FC22" s="361"/>
      <c r="FD22" s="361"/>
      <c r="FE22" s="361"/>
      <c r="FF22" s="361"/>
      <c r="FG22" s="361"/>
      <c r="FH22" s="361"/>
      <c r="FI22" s="361"/>
      <c r="FJ22" s="361"/>
      <c r="FK22" s="361"/>
      <c r="FL22" s="361"/>
      <c r="FM22" s="361"/>
      <c r="FN22" s="361"/>
      <c r="FO22" s="361"/>
      <c r="FP22" s="361"/>
      <c r="FQ22" s="361"/>
      <c r="FR22" s="361"/>
      <c r="FS22" s="361"/>
      <c r="FT22" s="361"/>
      <c r="FU22" s="361"/>
      <c r="FV22" s="361"/>
      <c r="FW22" s="361"/>
      <c r="FX22" s="361"/>
      <c r="FY22" s="361"/>
      <c r="FZ22" s="361"/>
      <c r="GA22" s="361"/>
      <c r="GB22" s="361"/>
      <c r="GC22" s="361"/>
      <c r="GD22" s="361"/>
      <c r="GE22" s="361"/>
      <c r="GF22" s="361"/>
      <c r="GG22" s="361"/>
      <c r="GH22" s="361"/>
      <c r="GI22" s="361"/>
      <c r="GJ22" s="361"/>
      <c r="GK22" s="361"/>
      <c r="GL22" s="361"/>
      <c r="GM22" s="361"/>
      <c r="GN22" s="361"/>
      <c r="GO22" s="361"/>
      <c r="GP22" s="361"/>
      <c r="GQ22" s="361"/>
      <c r="GR22" s="361"/>
      <c r="GS22" s="361"/>
      <c r="GT22" s="361"/>
      <c r="GU22" s="361"/>
      <c r="GV22" s="361"/>
      <c r="GW22" s="361"/>
      <c r="GX22" s="361"/>
      <c r="GY22" s="361"/>
      <c r="GZ22" s="361"/>
      <c r="HA22" s="361"/>
      <c r="HB22" s="361"/>
      <c r="HC22" s="361"/>
      <c r="HD22" s="361"/>
      <c r="HE22" s="361"/>
      <c r="HF22" s="361"/>
      <c r="HG22" s="361"/>
      <c r="HH22" s="361"/>
      <c r="HI22" s="361"/>
      <c r="HJ22" s="361"/>
      <c r="HK22" s="361"/>
      <c r="HL22" s="361"/>
      <c r="HM22" s="361"/>
      <c r="HN22" s="361"/>
      <c r="HO22" s="361"/>
      <c r="HP22" s="361"/>
      <c r="HQ22" s="361"/>
      <c r="HR22" s="361"/>
      <c r="HS22" s="361"/>
      <c r="HT22" s="361"/>
      <c r="HU22" s="361"/>
      <c r="HV22" s="361"/>
      <c r="HW22" s="361"/>
      <c r="HX22" s="361"/>
      <c r="HY22" s="361"/>
      <c r="HZ22" s="361"/>
      <c r="IA22" s="361"/>
      <c r="IB22" s="361"/>
      <c r="IC22" s="361"/>
      <c r="ID22" s="361"/>
      <c r="IE22" s="361"/>
      <c r="IF22" s="361"/>
      <c r="IG22" s="361"/>
      <c r="IH22" s="361"/>
      <c r="II22" s="361"/>
      <c r="IJ22" s="361"/>
      <c r="IK22" s="361"/>
      <c r="IL22" s="361"/>
      <c r="IM22" s="361"/>
      <c r="IN22" s="361"/>
      <c r="IO22" s="361"/>
      <c r="IP22" s="384"/>
      <c r="IQ22" s="384"/>
      <c r="IR22" s="384"/>
      <c r="IS22" s="384"/>
      <c r="IT22" s="384"/>
      <c r="IU22" s="384"/>
      <c r="IV22" s="384"/>
      <c r="IW22" s="384"/>
      <c r="IX22" s="384"/>
      <c r="IY22" s="346" t="s">
        <v>130</v>
      </c>
      <c r="IZ22" s="346"/>
      <c r="JA22" s="346"/>
      <c r="JB22" s="346"/>
      <c r="JC22" s="346"/>
      <c r="JD22" s="346"/>
      <c r="JE22" s="384"/>
    </row>
    <row r="23" spans="1:265" s="179" customFormat="1" ht="19.95" customHeight="1">
      <c r="A23" s="444"/>
      <c r="B23" s="333"/>
      <c r="C23" s="328" t="s">
        <v>72</v>
      </c>
      <c r="D23" s="178"/>
      <c r="E23" s="445">
        <f>COUNTIFS(Table1351452010[[#All],[Sales]],"คุณแดง มูลสองแคว",Table1351452010[[#All],[ค่าเชื่อมสัญญาณ/
ค่าติดตั้ง/
ค่าขายอุปกรณ์]],"&gt;1")</f>
        <v>1</v>
      </c>
      <c r="F23" s="446">
        <f>SUMIF(Table1351452010[[#All],[Sales]],"คุณแดง มูลสองแคว",Table1351452010[[#All],[Total
ค่าเชื่มสัญญาณ/ค่าติดตั้ง/
ค่าขายอุปกรณ์
(2)]])</f>
        <v>360</v>
      </c>
      <c r="G23" s="433">
        <v>0</v>
      </c>
      <c r="H23" s="435">
        <f t="shared" si="2"/>
        <v>360</v>
      </c>
      <c r="I23" s="359"/>
      <c r="J23" s="359"/>
      <c r="K23" s="359"/>
      <c r="L23" s="359"/>
      <c r="M23" s="380"/>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61"/>
      <c r="BF23" s="361"/>
      <c r="BG23" s="361"/>
      <c r="BH23" s="361"/>
      <c r="BI23" s="361"/>
      <c r="BJ23" s="361"/>
      <c r="BK23" s="361"/>
      <c r="BL23" s="361"/>
      <c r="BM23" s="361"/>
      <c r="BN23" s="361"/>
      <c r="BO23" s="361"/>
      <c r="BP23" s="361"/>
      <c r="BQ23" s="361"/>
      <c r="BR23" s="361"/>
      <c r="BS23" s="361"/>
      <c r="BT23" s="361"/>
      <c r="BU23" s="361"/>
      <c r="BV23" s="361"/>
      <c r="BW23" s="361"/>
      <c r="BX23" s="361"/>
      <c r="BY23" s="361"/>
      <c r="BZ23" s="361"/>
      <c r="CA23" s="361"/>
      <c r="CB23" s="361"/>
      <c r="CC23" s="361"/>
      <c r="CD23" s="361"/>
      <c r="CE23" s="361"/>
      <c r="CF23" s="361"/>
      <c r="CG23" s="361"/>
      <c r="CH23" s="361"/>
      <c r="CI23" s="361"/>
      <c r="CJ23" s="361"/>
      <c r="CK23" s="361"/>
      <c r="CL23" s="361"/>
      <c r="CM23" s="361"/>
      <c r="CN23" s="361"/>
      <c r="CO23" s="361"/>
      <c r="CP23" s="361"/>
      <c r="CQ23" s="361"/>
      <c r="CR23" s="361"/>
      <c r="CS23" s="361"/>
      <c r="CT23" s="361"/>
      <c r="CU23" s="361"/>
      <c r="CV23" s="361"/>
      <c r="CW23" s="361"/>
      <c r="CX23" s="361"/>
      <c r="CY23" s="361"/>
      <c r="CZ23" s="361"/>
      <c r="DA23" s="361"/>
      <c r="DB23" s="361"/>
      <c r="DC23" s="361"/>
      <c r="DD23" s="361"/>
      <c r="DE23" s="361"/>
      <c r="DF23" s="361"/>
      <c r="DG23" s="361"/>
      <c r="DH23" s="361"/>
      <c r="DI23" s="361"/>
      <c r="DJ23" s="361"/>
      <c r="DK23" s="361"/>
      <c r="DL23" s="361"/>
      <c r="DM23" s="361"/>
      <c r="DN23" s="361"/>
      <c r="DO23" s="361"/>
      <c r="DP23" s="361"/>
      <c r="DQ23" s="361"/>
      <c r="DR23" s="361"/>
      <c r="DS23" s="361"/>
      <c r="DT23" s="361"/>
      <c r="DU23" s="361"/>
      <c r="DV23" s="361"/>
      <c r="DW23" s="361"/>
      <c r="DX23" s="361"/>
      <c r="DY23" s="361"/>
      <c r="DZ23" s="361"/>
      <c r="EA23" s="361"/>
      <c r="EB23" s="361"/>
      <c r="EC23" s="361"/>
      <c r="ED23" s="361"/>
      <c r="EE23" s="361"/>
      <c r="EF23" s="361"/>
      <c r="EG23" s="361"/>
      <c r="EH23" s="361"/>
      <c r="EI23" s="361"/>
      <c r="EJ23" s="361"/>
      <c r="EK23" s="361"/>
      <c r="EL23" s="361"/>
      <c r="EM23" s="361"/>
      <c r="EN23" s="361"/>
      <c r="EO23" s="361"/>
      <c r="EP23" s="361"/>
      <c r="EQ23" s="361"/>
      <c r="ER23" s="361"/>
      <c r="ES23" s="361"/>
      <c r="ET23" s="361"/>
      <c r="EU23" s="361"/>
      <c r="EV23" s="361"/>
      <c r="EW23" s="361"/>
      <c r="EX23" s="361"/>
      <c r="EY23" s="361"/>
      <c r="EZ23" s="361"/>
      <c r="FA23" s="361"/>
      <c r="FB23" s="361"/>
      <c r="FC23" s="361"/>
      <c r="FD23" s="361"/>
      <c r="FE23" s="361"/>
      <c r="FF23" s="361"/>
      <c r="FG23" s="361"/>
      <c r="FH23" s="361"/>
      <c r="FI23" s="361"/>
      <c r="FJ23" s="361"/>
      <c r="FK23" s="361"/>
      <c r="FL23" s="361"/>
      <c r="FM23" s="361"/>
      <c r="FN23" s="361"/>
      <c r="FO23" s="361"/>
      <c r="FP23" s="361"/>
      <c r="FQ23" s="361"/>
      <c r="FR23" s="361"/>
      <c r="FS23" s="361"/>
      <c r="FT23" s="361"/>
      <c r="FU23" s="361"/>
      <c r="FV23" s="361"/>
      <c r="FW23" s="361"/>
      <c r="FX23" s="361"/>
      <c r="FY23" s="361"/>
      <c r="FZ23" s="361"/>
      <c r="GA23" s="361"/>
      <c r="GB23" s="361"/>
      <c r="GC23" s="361"/>
      <c r="GD23" s="361"/>
      <c r="GE23" s="361"/>
      <c r="GF23" s="361"/>
      <c r="GG23" s="361"/>
      <c r="GH23" s="361"/>
      <c r="GI23" s="361"/>
      <c r="GJ23" s="361"/>
      <c r="GK23" s="361"/>
      <c r="GL23" s="361"/>
      <c r="GM23" s="361"/>
      <c r="GN23" s="361"/>
      <c r="GO23" s="361"/>
      <c r="GP23" s="361"/>
      <c r="GQ23" s="361"/>
      <c r="GR23" s="361"/>
      <c r="GS23" s="361"/>
      <c r="GT23" s="361"/>
      <c r="GU23" s="361"/>
      <c r="GV23" s="361"/>
      <c r="GW23" s="361"/>
      <c r="GX23" s="361"/>
      <c r="GY23" s="361"/>
      <c r="GZ23" s="361"/>
      <c r="HA23" s="361"/>
      <c r="HB23" s="361"/>
      <c r="HC23" s="361"/>
      <c r="HD23" s="361"/>
      <c r="HE23" s="361"/>
      <c r="HF23" s="361"/>
      <c r="HG23" s="361"/>
      <c r="HH23" s="361"/>
      <c r="HI23" s="361"/>
      <c r="HJ23" s="361"/>
      <c r="HK23" s="361"/>
      <c r="HL23" s="361"/>
      <c r="HM23" s="361"/>
      <c r="HN23" s="361"/>
      <c r="HO23" s="361"/>
      <c r="HP23" s="361"/>
      <c r="HQ23" s="361"/>
      <c r="HR23" s="361"/>
      <c r="HS23" s="361"/>
      <c r="HT23" s="361"/>
      <c r="HU23" s="361"/>
      <c r="HV23" s="361"/>
      <c r="HW23" s="361"/>
      <c r="HX23" s="361"/>
      <c r="HY23" s="361"/>
      <c r="HZ23" s="361"/>
      <c r="IA23" s="361"/>
      <c r="IB23" s="361"/>
      <c r="IC23" s="361"/>
      <c r="ID23" s="361"/>
      <c r="IE23" s="361"/>
      <c r="IF23" s="361"/>
      <c r="IG23" s="361"/>
      <c r="IH23" s="361"/>
      <c r="II23" s="361"/>
      <c r="IJ23" s="361"/>
      <c r="IK23" s="361"/>
      <c r="IL23" s="361"/>
      <c r="IM23" s="361"/>
      <c r="IN23" s="361"/>
      <c r="IO23" s="361"/>
      <c r="IP23" s="384"/>
      <c r="IQ23" s="384"/>
      <c r="IR23" s="384"/>
      <c r="IS23" s="384"/>
      <c r="IT23" s="384"/>
      <c r="IU23" s="384"/>
      <c r="IV23" s="384"/>
      <c r="IW23" s="384"/>
      <c r="IX23" s="384"/>
      <c r="IY23" s="346" t="s">
        <v>151</v>
      </c>
      <c r="IZ23" s="346"/>
      <c r="JA23" s="346"/>
      <c r="JB23" s="346"/>
      <c r="JC23" s="346"/>
      <c r="JD23" s="346"/>
      <c r="JE23" s="384"/>
    </row>
    <row r="24" spans="1:265" s="179" customFormat="1" ht="19.95" customHeight="1" thickBot="1">
      <c r="A24" s="444"/>
      <c r="B24" s="335"/>
      <c r="C24" s="328" t="s">
        <v>67</v>
      </c>
      <c r="D24" s="178"/>
      <c r="E24" s="445">
        <f>COUNTIFS(Table1351452010[[#All],[Sales]],"คุณรุ่งอรุณ อินบุญรอด",Table1351452010[[#All],[ค่าเชื่อมสัญญาณ/
ค่าติดตั้ง/
ค่าขายอุปกรณ์]],"&gt;1")</f>
        <v>0</v>
      </c>
      <c r="F24" s="446">
        <f>SUMIF(Table1351452010[[#All],[Sales]],"คุณรุ่งอรุณ อินบุญรอด",Table1351452010[[#All],[Total
ค่าเชื่มสัญญาณ/ค่าติดตั้ง/
ค่าขายอุปกรณ์
(2)]])</f>
        <v>0</v>
      </c>
      <c r="G24" s="433">
        <v>0</v>
      </c>
      <c r="H24" s="435">
        <f t="shared" si="2"/>
        <v>0</v>
      </c>
      <c r="I24" s="359"/>
      <c r="J24" s="359"/>
      <c r="K24" s="359"/>
      <c r="L24" s="359"/>
      <c r="M24" s="380"/>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84"/>
      <c r="IQ24" s="384"/>
      <c r="IR24" s="384"/>
      <c r="IS24" s="384"/>
      <c r="IT24" s="384"/>
      <c r="IU24" s="384"/>
      <c r="IV24" s="384"/>
      <c r="IW24" s="384"/>
      <c r="IX24" s="384"/>
      <c r="IY24" s="346" t="s">
        <v>68</v>
      </c>
      <c r="IZ24" s="346"/>
      <c r="JA24" s="346"/>
      <c r="JB24" s="346"/>
      <c r="JC24" s="346"/>
      <c r="JD24" s="346"/>
      <c r="JE24" s="384"/>
    </row>
    <row r="25" spans="1:265" s="175" customFormat="1" ht="19.95" customHeight="1">
      <c r="A25" s="440">
        <v>3</v>
      </c>
      <c r="B25" s="713" t="s">
        <v>144</v>
      </c>
      <c r="C25" s="425" t="s">
        <v>70</v>
      </c>
      <c r="D25" s="718" t="s">
        <v>149</v>
      </c>
      <c r="E25" s="442">
        <f>COUNTIFS(Table1351452010[[#All],[Sales]],"คุณนิมิต จุ้ยอยู่ทอง",Table1351452010[[#All],[Total 
คอมฯค่าเชื่อมสัญญาณ
(3)]],"&gt;1")</f>
        <v>0</v>
      </c>
      <c r="F25" s="443">
        <f>SUMIF(Table1351452010[[#All],[Sales]],"คุณนิมิต จุ้ยอยู่ทอง",Table1351452010[[#All],[Total 
คอมฯค่าเชื่อมสัญญาณ
(3)]])</f>
        <v>0</v>
      </c>
      <c r="G25" s="429">
        <v>0</v>
      </c>
      <c r="H25" s="430">
        <f>F25-G25</f>
        <v>0</v>
      </c>
      <c r="I25" s="685" t="s">
        <v>178</v>
      </c>
      <c r="J25" s="359"/>
      <c r="K25" s="359"/>
      <c r="L25" s="359"/>
      <c r="M25" s="360"/>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c r="BA25" s="361"/>
      <c r="BB25" s="361"/>
      <c r="BC25" s="361"/>
      <c r="BD25" s="361"/>
      <c r="BE25" s="361"/>
      <c r="BF25" s="361"/>
      <c r="BG25" s="361"/>
      <c r="BH25" s="361"/>
      <c r="BI25" s="361"/>
      <c r="BJ25" s="361"/>
      <c r="BK25" s="361"/>
      <c r="BL25" s="361"/>
      <c r="BM25" s="361"/>
      <c r="BN25" s="361"/>
      <c r="BO25" s="361"/>
      <c r="BP25" s="361"/>
      <c r="BQ25" s="361"/>
      <c r="BR25" s="361"/>
      <c r="BS25" s="361"/>
      <c r="BT25" s="361"/>
      <c r="BU25" s="361"/>
      <c r="BV25" s="361"/>
      <c r="BW25" s="361"/>
      <c r="BX25" s="361"/>
      <c r="BY25" s="361"/>
      <c r="BZ25" s="361"/>
      <c r="CA25" s="361"/>
      <c r="CB25" s="361"/>
      <c r="CC25" s="361"/>
      <c r="CD25" s="361"/>
      <c r="CE25" s="361"/>
      <c r="CF25" s="361"/>
      <c r="CG25" s="361"/>
      <c r="CH25" s="361"/>
      <c r="CI25" s="361"/>
      <c r="CJ25" s="361"/>
      <c r="CK25" s="361"/>
      <c r="CL25" s="361"/>
      <c r="CM25" s="361"/>
      <c r="CN25" s="361"/>
      <c r="CO25" s="361"/>
      <c r="CP25" s="361"/>
      <c r="CQ25" s="361"/>
      <c r="CR25" s="361"/>
      <c r="CS25" s="361"/>
      <c r="CT25" s="361"/>
      <c r="CU25" s="361"/>
      <c r="CV25" s="361"/>
      <c r="CW25" s="361"/>
      <c r="CX25" s="361"/>
      <c r="CY25" s="361"/>
      <c r="CZ25" s="361"/>
      <c r="DA25" s="361"/>
      <c r="DB25" s="361"/>
      <c r="DC25" s="361"/>
      <c r="DD25" s="361"/>
      <c r="DE25" s="361"/>
      <c r="DF25" s="361"/>
      <c r="DG25" s="361"/>
      <c r="DH25" s="361"/>
      <c r="DI25" s="361"/>
      <c r="DJ25" s="361"/>
      <c r="DK25" s="361"/>
      <c r="DL25" s="361"/>
      <c r="DM25" s="361"/>
      <c r="DN25" s="361"/>
      <c r="DO25" s="361"/>
      <c r="DP25" s="361"/>
      <c r="DQ25" s="361"/>
      <c r="DR25" s="361"/>
      <c r="DS25" s="361"/>
      <c r="DT25" s="361"/>
      <c r="DU25" s="361"/>
      <c r="DV25" s="361"/>
      <c r="DW25" s="361"/>
      <c r="DX25" s="361"/>
      <c r="DY25" s="361"/>
      <c r="DZ25" s="361"/>
      <c r="EA25" s="361"/>
      <c r="EB25" s="361"/>
      <c r="EC25" s="361"/>
      <c r="ED25" s="361"/>
      <c r="EE25" s="361"/>
      <c r="EF25" s="361"/>
      <c r="EG25" s="361"/>
      <c r="EH25" s="361"/>
      <c r="EI25" s="361"/>
      <c r="EJ25" s="361"/>
      <c r="EK25" s="361"/>
      <c r="EL25" s="361"/>
      <c r="EM25" s="361"/>
      <c r="EN25" s="361"/>
      <c r="EO25" s="361"/>
      <c r="EP25" s="361"/>
      <c r="EQ25" s="361"/>
      <c r="ER25" s="361"/>
      <c r="ES25" s="361"/>
      <c r="ET25" s="361"/>
      <c r="EU25" s="361"/>
      <c r="EV25" s="361"/>
      <c r="EW25" s="361"/>
      <c r="EX25" s="361"/>
      <c r="EY25" s="361"/>
      <c r="EZ25" s="361"/>
      <c r="FA25" s="361"/>
      <c r="FB25" s="361"/>
      <c r="FC25" s="361"/>
      <c r="FD25" s="361"/>
      <c r="FE25" s="361"/>
      <c r="FF25" s="361"/>
      <c r="FG25" s="361"/>
      <c r="FH25" s="361"/>
      <c r="FI25" s="361"/>
      <c r="FJ25" s="361"/>
      <c r="FK25" s="361"/>
      <c r="FL25" s="361"/>
      <c r="FM25" s="361"/>
      <c r="FN25" s="361"/>
      <c r="FO25" s="361"/>
      <c r="FP25" s="361"/>
      <c r="FQ25" s="361"/>
      <c r="FR25" s="361"/>
      <c r="FS25" s="361"/>
      <c r="FT25" s="361"/>
      <c r="FU25" s="361"/>
      <c r="FV25" s="361"/>
      <c r="FW25" s="361"/>
      <c r="FX25" s="361"/>
      <c r="FY25" s="361"/>
      <c r="FZ25" s="361"/>
      <c r="GA25" s="361"/>
      <c r="GB25" s="361"/>
      <c r="GC25" s="361"/>
      <c r="GD25" s="361"/>
      <c r="GE25" s="361"/>
      <c r="GF25" s="361"/>
      <c r="GG25" s="361"/>
      <c r="GH25" s="361"/>
      <c r="GI25" s="361"/>
      <c r="GJ25" s="361"/>
      <c r="GK25" s="361"/>
      <c r="GL25" s="361"/>
      <c r="GM25" s="361"/>
      <c r="GN25" s="361"/>
      <c r="GO25" s="361"/>
      <c r="GP25" s="361"/>
      <c r="GQ25" s="361"/>
      <c r="GR25" s="361"/>
      <c r="GS25" s="361"/>
      <c r="GT25" s="361"/>
      <c r="GU25" s="361"/>
      <c r="GV25" s="361"/>
      <c r="GW25" s="361"/>
      <c r="GX25" s="361"/>
      <c r="GY25" s="361"/>
      <c r="GZ25" s="361"/>
      <c r="HA25" s="361"/>
      <c r="HB25" s="361"/>
      <c r="HC25" s="361"/>
      <c r="HD25" s="361"/>
      <c r="HE25" s="361"/>
      <c r="HF25" s="361"/>
      <c r="HG25" s="361"/>
      <c r="HH25" s="361"/>
      <c r="HI25" s="361"/>
      <c r="HJ25" s="361"/>
      <c r="HK25" s="361"/>
      <c r="HL25" s="361"/>
      <c r="HM25" s="361"/>
      <c r="HN25" s="361"/>
      <c r="HO25" s="361"/>
      <c r="HP25" s="361"/>
      <c r="HQ25" s="361"/>
      <c r="HR25" s="361"/>
      <c r="HS25" s="361"/>
      <c r="HT25" s="361"/>
      <c r="HU25" s="361"/>
      <c r="HV25" s="361"/>
      <c r="HW25" s="361"/>
      <c r="HX25" s="361"/>
      <c r="HY25" s="361"/>
      <c r="HZ25" s="361"/>
      <c r="IA25" s="361"/>
      <c r="IB25" s="361"/>
      <c r="IC25" s="361"/>
      <c r="ID25" s="361"/>
      <c r="IE25" s="361"/>
      <c r="IF25" s="361"/>
      <c r="IG25" s="361"/>
      <c r="IH25" s="361"/>
      <c r="II25" s="361"/>
      <c r="IJ25" s="361"/>
      <c r="IK25" s="361"/>
      <c r="IL25" s="361"/>
      <c r="IM25" s="361"/>
      <c r="IN25" s="361"/>
      <c r="IO25" s="361"/>
      <c r="IP25" s="361"/>
      <c r="IQ25" s="361"/>
      <c r="IR25" s="361"/>
      <c r="IS25" s="361"/>
      <c r="IT25" s="361"/>
      <c r="IU25" s="361"/>
      <c r="IV25" s="361"/>
      <c r="IW25" s="361"/>
      <c r="IX25" s="361"/>
      <c r="IY25" s="346" t="s">
        <v>21</v>
      </c>
      <c r="IZ25" s="346"/>
      <c r="JA25" s="346"/>
      <c r="JB25" s="346"/>
      <c r="JC25" s="346"/>
      <c r="JD25" s="346"/>
      <c r="JE25" s="361"/>
    </row>
    <row r="26" spans="1:265" s="175" customFormat="1" ht="19.95" customHeight="1">
      <c r="A26" s="444"/>
      <c r="B26" s="714" t="s">
        <v>145</v>
      </c>
      <c r="C26" s="328" t="s">
        <v>71</v>
      </c>
      <c r="D26" s="719" t="s">
        <v>150</v>
      </c>
      <c r="E26" s="445">
        <f>COUNTIFS(Table1351452010[[#All],[Sales]],"คุณธวัช มีแสง",Table1351452010[[#All],[Total 
คอมฯค่าเชื่อมสัญญาณ
(3)]],"&gt;1")</f>
        <v>0</v>
      </c>
      <c r="F26" s="446">
        <f>SUMIF(Table1351452010[[#All],[Sales]],"คุณธวัช มีแสง",Table1351452010[[#All],[Total 
คอมฯค่าเชื่อมสัญญาณ
(3)]])</f>
        <v>0</v>
      </c>
      <c r="G26" s="433">
        <v>0</v>
      </c>
      <c r="H26" s="435">
        <f>F26-G26</f>
        <v>0</v>
      </c>
      <c r="I26" s="359"/>
      <c r="J26" s="359"/>
      <c r="K26" s="359"/>
      <c r="L26" s="359"/>
      <c r="M26" s="360"/>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61"/>
      <c r="IQ26" s="361"/>
      <c r="IR26" s="361"/>
      <c r="IS26" s="361"/>
      <c r="IT26" s="361"/>
      <c r="IU26" s="361"/>
      <c r="IV26" s="361"/>
      <c r="IW26" s="361"/>
      <c r="IX26" s="361"/>
      <c r="IY26" s="381" t="s">
        <v>181</v>
      </c>
      <c r="IZ26" s="381"/>
      <c r="JA26" s="381"/>
      <c r="JB26" s="381"/>
      <c r="JC26" s="381"/>
      <c r="JD26" s="381"/>
      <c r="JE26" s="361"/>
    </row>
    <row r="27" spans="1:265" s="175" customFormat="1" ht="19.95" customHeight="1">
      <c r="A27" s="444"/>
      <c r="B27" s="715"/>
      <c r="C27" s="328" t="s">
        <v>73</v>
      </c>
      <c r="D27" s="336"/>
      <c r="E27" s="445">
        <f>COUNTIFS(Table1351452010[[#All],[Sales]],"คุณนิยนต์ อยู่ทะเล",Table1351452010[[#All],[Total 
คอมฯค่าเชื่อมสัญญาณ
(3)]],"&gt;1")</f>
        <v>0</v>
      </c>
      <c r="F27" s="446">
        <f>SUMIF(Table1351452010[[#All],[Sales]],"คุณแดง มูลสองแคว",Table1351452010[[#All],[Total 
คอมฯค่าเชื่อมสัญญาณ
(3)]])</f>
        <v>0</v>
      </c>
      <c r="G27" s="433">
        <v>0</v>
      </c>
      <c r="H27" s="435">
        <f>F27-G27</f>
        <v>0</v>
      </c>
      <c r="I27" s="359"/>
      <c r="J27" s="359"/>
      <c r="K27" s="359"/>
      <c r="L27" s="359"/>
      <c r="M27" s="360"/>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1"/>
      <c r="AR27" s="361"/>
      <c r="AS27" s="361"/>
      <c r="AT27" s="361"/>
      <c r="AU27" s="361"/>
      <c r="AV27" s="361"/>
      <c r="AW27" s="361"/>
      <c r="AX27" s="361"/>
      <c r="AY27" s="361"/>
      <c r="AZ27" s="361"/>
      <c r="BA27" s="361"/>
      <c r="BB27" s="361"/>
      <c r="BC27" s="361"/>
      <c r="BD27" s="361"/>
      <c r="BE27" s="361"/>
      <c r="BF27" s="361"/>
      <c r="BG27" s="361"/>
      <c r="BH27" s="361"/>
      <c r="BI27" s="361"/>
      <c r="BJ27" s="361"/>
      <c r="BK27" s="361"/>
      <c r="BL27" s="361"/>
      <c r="BM27" s="361"/>
      <c r="BN27" s="361"/>
      <c r="BO27" s="361"/>
      <c r="BP27" s="361"/>
      <c r="BQ27" s="361"/>
      <c r="BR27" s="361"/>
      <c r="BS27" s="361"/>
      <c r="BT27" s="361"/>
      <c r="BU27" s="361"/>
      <c r="BV27" s="361"/>
      <c r="BW27" s="361"/>
      <c r="BX27" s="361"/>
      <c r="BY27" s="361"/>
      <c r="BZ27" s="361"/>
      <c r="CA27" s="361"/>
      <c r="CB27" s="361"/>
      <c r="CC27" s="361"/>
      <c r="CD27" s="361"/>
      <c r="CE27" s="361"/>
      <c r="CF27" s="361"/>
      <c r="CG27" s="361"/>
      <c r="CH27" s="361"/>
      <c r="CI27" s="361"/>
      <c r="CJ27" s="361"/>
      <c r="CK27" s="361"/>
      <c r="CL27" s="361"/>
      <c r="CM27" s="361"/>
      <c r="CN27" s="361"/>
      <c r="CO27" s="361"/>
      <c r="CP27" s="361"/>
      <c r="CQ27" s="361"/>
      <c r="CR27" s="361"/>
      <c r="CS27" s="361"/>
      <c r="CT27" s="361"/>
      <c r="CU27" s="361"/>
      <c r="CV27" s="361"/>
      <c r="CW27" s="361"/>
      <c r="CX27" s="361"/>
      <c r="CY27" s="361"/>
      <c r="CZ27" s="361"/>
      <c r="DA27" s="361"/>
      <c r="DB27" s="361"/>
      <c r="DC27" s="361"/>
      <c r="DD27" s="361"/>
      <c r="DE27" s="361"/>
      <c r="DF27" s="361"/>
      <c r="DG27" s="361"/>
      <c r="DH27" s="361"/>
      <c r="DI27" s="361"/>
      <c r="DJ27" s="361"/>
      <c r="DK27" s="361"/>
      <c r="DL27" s="361"/>
      <c r="DM27" s="361"/>
      <c r="DN27" s="361"/>
      <c r="DO27" s="361"/>
      <c r="DP27" s="361"/>
      <c r="DQ27" s="361"/>
      <c r="DR27" s="361"/>
      <c r="DS27" s="361"/>
      <c r="DT27" s="361"/>
      <c r="DU27" s="361"/>
      <c r="DV27" s="361"/>
      <c r="DW27" s="361"/>
      <c r="DX27" s="361"/>
      <c r="DY27" s="361"/>
      <c r="DZ27" s="361"/>
      <c r="EA27" s="361"/>
      <c r="EB27" s="361"/>
      <c r="EC27" s="361"/>
      <c r="ED27" s="361"/>
      <c r="EE27" s="361"/>
      <c r="EF27" s="361"/>
      <c r="EG27" s="361"/>
      <c r="EH27" s="361"/>
      <c r="EI27" s="361"/>
      <c r="EJ27" s="361"/>
      <c r="EK27" s="361"/>
      <c r="EL27" s="361"/>
      <c r="EM27" s="361"/>
      <c r="EN27" s="361"/>
      <c r="EO27" s="361"/>
      <c r="EP27" s="361"/>
      <c r="EQ27" s="361"/>
      <c r="ER27" s="361"/>
      <c r="ES27" s="361"/>
      <c r="ET27" s="361"/>
      <c r="EU27" s="361"/>
      <c r="EV27" s="361"/>
      <c r="EW27" s="361"/>
      <c r="EX27" s="361"/>
      <c r="EY27" s="361"/>
      <c r="EZ27" s="361"/>
      <c r="FA27" s="361"/>
      <c r="FB27" s="361"/>
      <c r="FC27" s="361"/>
      <c r="FD27" s="361"/>
      <c r="FE27" s="361"/>
      <c r="FF27" s="361"/>
      <c r="FG27" s="361"/>
      <c r="FH27" s="361"/>
      <c r="FI27" s="361"/>
      <c r="FJ27" s="361"/>
      <c r="FK27" s="361"/>
      <c r="FL27" s="361"/>
      <c r="FM27" s="361"/>
      <c r="FN27" s="361"/>
      <c r="FO27" s="361"/>
      <c r="FP27" s="361"/>
      <c r="FQ27" s="361"/>
      <c r="FR27" s="361"/>
      <c r="FS27" s="361"/>
      <c r="FT27" s="361"/>
      <c r="FU27" s="361"/>
      <c r="FV27" s="361"/>
      <c r="FW27" s="361"/>
      <c r="FX27" s="361"/>
      <c r="FY27" s="361"/>
      <c r="FZ27" s="361"/>
      <c r="GA27" s="361"/>
      <c r="GB27" s="361"/>
      <c r="GC27" s="361"/>
      <c r="GD27" s="361"/>
      <c r="GE27" s="361"/>
      <c r="GF27" s="361"/>
      <c r="GG27" s="361"/>
      <c r="GH27" s="361"/>
      <c r="GI27" s="361"/>
      <c r="GJ27" s="361"/>
      <c r="GK27" s="361"/>
      <c r="GL27" s="361"/>
      <c r="GM27" s="361"/>
      <c r="GN27" s="361"/>
      <c r="GO27" s="361"/>
      <c r="GP27" s="361"/>
      <c r="GQ27" s="361"/>
      <c r="GR27" s="361"/>
      <c r="GS27" s="361"/>
      <c r="GT27" s="361"/>
      <c r="GU27" s="361"/>
      <c r="GV27" s="361"/>
      <c r="GW27" s="361"/>
      <c r="GX27" s="361"/>
      <c r="GY27" s="361"/>
      <c r="GZ27" s="361"/>
      <c r="HA27" s="361"/>
      <c r="HB27" s="361"/>
      <c r="HC27" s="361"/>
      <c r="HD27" s="361"/>
      <c r="HE27" s="361"/>
      <c r="HF27" s="361"/>
      <c r="HG27" s="361"/>
      <c r="HH27" s="361"/>
      <c r="HI27" s="361"/>
      <c r="HJ27" s="361"/>
      <c r="HK27" s="361"/>
      <c r="HL27" s="361"/>
      <c r="HM27" s="361"/>
      <c r="HN27" s="361"/>
      <c r="HO27" s="361"/>
      <c r="HP27" s="361"/>
      <c r="HQ27" s="361"/>
      <c r="HR27" s="361"/>
      <c r="HS27" s="361"/>
      <c r="HT27" s="361"/>
      <c r="HU27" s="361"/>
      <c r="HV27" s="361"/>
      <c r="HW27" s="361"/>
      <c r="HX27" s="361"/>
      <c r="HY27" s="361"/>
      <c r="HZ27" s="361"/>
      <c r="IA27" s="361"/>
      <c r="IB27" s="361"/>
      <c r="IC27" s="361"/>
      <c r="ID27" s="361"/>
      <c r="IE27" s="361"/>
      <c r="IF27" s="361"/>
      <c r="IG27" s="361"/>
      <c r="IH27" s="361"/>
      <c r="II27" s="361"/>
      <c r="IJ27" s="361"/>
      <c r="IK27" s="361"/>
      <c r="IL27" s="361"/>
      <c r="IM27" s="361"/>
      <c r="IN27" s="361"/>
      <c r="IO27" s="361"/>
      <c r="IP27" s="361"/>
      <c r="IQ27" s="361"/>
      <c r="IR27" s="361"/>
      <c r="IS27" s="361"/>
      <c r="IT27" s="361"/>
      <c r="IU27" s="361"/>
      <c r="IV27" s="361"/>
      <c r="IW27" s="361"/>
      <c r="IX27" s="361"/>
      <c r="IY27" s="346" t="s">
        <v>70</v>
      </c>
      <c r="IZ27" s="346"/>
      <c r="JA27" s="346"/>
      <c r="JB27" s="346"/>
      <c r="JC27" s="346"/>
      <c r="JD27" s="346"/>
      <c r="JE27" s="361"/>
    </row>
    <row r="28" spans="1:265" s="175" customFormat="1" ht="19.95" customHeight="1">
      <c r="A28" s="444"/>
      <c r="B28" s="715"/>
      <c r="C28" s="328" t="s">
        <v>74</v>
      </c>
      <c r="D28" s="336"/>
      <c r="E28" s="445">
        <f>COUNTIFS(Table1351452010[[#All],[Sales]],"คุณจินตนา อ้อยหวาน",Table1351452010[[#All],[Total 
คอมฯค่าเชื่อมสัญญาณ
(3)]],"&gt;1")</f>
        <v>0</v>
      </c>
      <c r="F28" s="446">
        <f>SUMIF(Table1351452010[[#All],[Sales]],"คุณจินตนา อ้อยหวาน",Table1351452010[[#All],[Total 
คอมฯค่าเชื่อมสัญญาณ
(3)]])</f>
        <v>0</v>
      </c>
      <c r="G28" s="433">
        <v>0</v>
      </c>
      <c r="H28" s="435">
        <f t="shared" ref="H28:H34" si="3">F28-G28</f>
        <v>0</v>
      </c>
      <c r="I28" s="359"/>
      <c r="J28" s="359"/>
      <c r="K28" s="359"/>
      <c r="L28" s="359"/>
      <c r="M28" s="360"/>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1"/>
      <c r="AM28" s="361"/>
      <c r="AN28" s="361"/>
      <c r="AO28" s="361"/>
      <c r="AP28" s="361"/>
      <c r="AQ28" s="361"/>
      <c r="AR28" s="361"/>
      <c r="AS28" s="361"/>
      <c r="AT28" s="361"/>
      <c r="AU28" s="361"/>
      <c r="AV28" s="361"/>
      <c r="AW28" s="361"/>
      <c r="AX28" s="361"/>
      <c r="AY28" s="361"/>
      <c r="AZ28" s="361"/>
      <c r="BA28" s="361"/>
      <c r="BB28" s="361"/>
      <c r="BC28" s="361"/>
      <c r="BD28" s="361"/>
      <c r="BE28" s="361"/>
      <c r="BF28" s="361"/>
      <c r="BG28" s="361"/>
      <c r="BH28" s="361"/>
      <c r="BI28" s="361"/>
      <c r="BJ28" s="361"/>
      <c r="BK28" s="361"/>
      <c r="BL28" s="361"/>
      <c r="BM28" s="361"/>
      <c r="BN28" s="361"/>
      <c r="BO28" s="361"/>
      <c r="BP28" s="361"/>
      <c r="BQ28" s="361"/>
      <c r="BR28" s="361"/>
      <c r="BS28" s="361"/>
      <c r="BT28" s="361"/>
      <c r="BU28" s="361"/>
      <c r="BV28" s="361"/>
      <c r="BW28" s="361"/>
      <c r="BX28" s="361"/>
      <c r="BY28" s="361"/>
      <c r="BZ28" s="361"/>
      <c r="CA28" s="361"/>
      <c r="CB28" s="361"/>
      <c r="CC28" s="361"/>
      <c r="CD28" s="361"/>
      <c r="CE28" s="361"/>
      <c r="CF28" s="361"/>
      <c r="CG28" s="361"/>
      <c r="CH28" s="361"/>
      <c r="CI28" s="361"/>
      <c r="CJ28" s="361"/>
      <c r="CK28" s="361"/>
      <c r="CL28" s="361"/>
      <c r="CM28" s="361"/>
      <c r="CN28" s="361"/>
      <c r="CO28" s="361"/>
      <c r="CP28" s="361"/>
      <c r="CQ28" s="361"/>
      <c r="CR28" s="361"/>
      <c r="CS28" s="361"/>
      <c r="CT28" s="361"/>
      <c r="CU28" s="361"/>
      <c r="CV28" s="361"/>
      <c r="CW28" s="361"/>
      <c r="CX28" s="361"/>
      <c r="CY28" s="361"/>
      <c r="CZ28" s="361"/>
      <c r="DA28" s="361"/>
      <c r="DB28" s="361"/>
      <c r="DC28" s="361"/>
      <c r="DD28" s="361"/>
      <c r="DE28" s="361"/>
      <c r="DF28" s="361"/>
      <c r="DG28" s="361"/>
      <c r="DH28" s="361"/>
      <c r="DI28" s="361"/>
      <c r="DJ28" s="361"/>
      <c r="DK28" s="361"/>
      <c r="DL28" s="361"/>
      <c r="DM28" s="361"/>
      <c r="DN28" s="361"/>
      <c r="DO28" s="361"/>
      <c r="DP28" s="361"/>
      <c r="DQ28" s="361"/>
      <c r="DR28" s="361"/>
      <c r="DS28" s="361"/>
      <c r="DT28" s="361"/>
      <c r="DU28" s="361"/>
      <c r="DV28" s="361"/>
      <c r="DW28" s="361"/>
      <c r="DX28" s="361"/>
      <c r="DY28" s="361"/>
      <c r="DZ28" s="361"/>
      <c r="EA28" s="361"/>
      <c r="EB28" s="361"/>
      <c r="EC28" s="361"/>
      <c r="ED28" s="361"/>
      <c r="EE28" s="361"/>
      <c r="EF28" s="361"/>
      <c r="EG28" s="361"/>
      <c r="EH28" s="361"/>
      <c r="EI28" s="361"/>
      <c r="EJ28" s="361"/>
      <c r="EK28" s="361"/>
      <c r="EL28" s="361"/>
      <c r="EM28" s="361"/>
      <c r="EN28" s="361"/>
      <c r="EO28" s="361"/>
      <c r="EP28" s="361"/>
      <c r="EQ28" s="361"/>
      <c r="ER28" s="361"/>
      <c r="ES28" s="361"/>
      <c r="ET28" s="361"/>
      <c r="EU28" s="361"/>
      <c r="EV28" s="361"/>
      <c r="EW28" s="361"/>
      <c r="EX28" s="361"/>
      <c r="EY28" s="361"/>
      <c r="EZ28" s="361"/>
      <c r="FA28" s="361"/>
      <c r="FB28" s="361"/>
      <c r="FC28" s="361"/>
      <c r="FD28" s="361"/>
      <c r="FE28" s="361"/>
      <c r="FF28" s="361"/>
      <c r="FG28" s="361"/>
      <c r="FH28" s="361"/>
      <c r="FI28" s="361"/>
      <c r="FJ28" s="361"/>
      <c r="FK28" s="361"/>
      <c r="FL28" s="361"/>
      <c r="FM28" s="361"/>
      <c r="FN28" s="361"/>
      <c r="FO28" s="361"/>
      <c r="FP28" s="361"/>
      <c r="FQ28" s="361"/>
      <c r="FR28" s="361"/>
      <c r="FS28" s="361"/>
      <c r="FT28" s="361"/>
      <c r="FU28" s="361"/>
      <c r="FV28" s="361"/>
      <c r="FW28" s="361"/>
      <c r="FX28" s="361"/>
      <c r="FY28" s="361"/>
      <c r="FZ28" s="361"/>
      <c r="GA28" s="361"/>
      <c r="GB28" s="361"/>
      <c r="GC28" s="361"/>
      <c r="GD28" s="361"/>
      <c r="GE28" s="361"/>
      <c r="GF28" s="361"/>
      <c r="GG28" s="361"/>
      <c r="GH28" s="361"/>
      <c r="GI28" s="361"/>
      <c r="GJ28" s="361"/>
      <c r="GK28" s="361"/>
      <c r="GL28" s="361"/>
      <c r="GM28" s="361"/>
      <c r="GN28" s="361"/>
      <c r="GO28" s="361"/>
      <c r="GP28" s="361"/>
      <c r="GQ28" s="361"/>
      <c r="GR28" s="361"/>
      <c r="GS28" s="361"/>
      <c r="GT28" s="361"/>
      <c r="GU28" s="361"/>
      <c r="GV28" s="361"/>
      <c r="GW28" s="361"/>
      <c r="GX28" s="361"/>
      <c r="GY28" s="361"/>
      <c r="GZ28" s="361"/>
      <c r="HA28" s="361"/>
      <c r="HB28" s="361"/>
      <c r="HC28" s="361"/>
      <c r="HD28" s="361"/>
      <c r="HE28" s="361"/>
      <c r="HF28" s="361"/>
      <c r="HG28" s="361"/>
      <c r="HH28" s="361"/>
      <c r="HI28" s="361"/>
      <c r="HJ28" s="361"/>
      <c r="HK28" s="361"/>
      <c r="HL28" s="361"/>
      <c r="HM28" s="361"/>
      <c r="HN28" s="361"/>
      <c r="HO28" s="361"/>
      <c r="HP28" s="361"/>
      <c r="HQ28" s="361"/>
      <c r="HR28" s="361"/>
      <c r="HS28" s="361"/>
      <c r="HT28" s="361"/>
      <c r="HU28" s="361"/>
      <c r="HV28" s="361"/>
      <c r="HW28" s="361"/>
      <c r="HX28" s="361"/>
      <c r="HY28" s="361"/>
      <c r="HZ28" s="361"/>
      <c r="IA28" s="361"/>
      <c r="IB28" s="361"/>
      <c r="IC28" s="361"/>
      <c r="ID28" s="361"/>
      <c r="IE28" s="361"/>
      <c r="IF28" s="361"/>
      <c r="IG28" s="361"/>
      <c r="IH28" s="361"/>
      <c r="II28" s="361"/>
      <c r="IJ28" s="361"/>
      <c r="IK28" s="361"/>
      <c r="IL28" s="361"/>
      <c r="IM28" s="361"/>
      <c r="IN28" s="361"/>
      <c r="IO28" s="361"/>
      <c r="IP28" s="361"/>
      <c r="IQ28" s="361"/>
      <c r="IR28" s="361"/>
      <c r="IS28" s="361"/>
      <c r="IT28" s="361"/>
      <c r="IU28" s="361"/>
      <c r="IV28" s="361"/>
      <c r="IW28" s="361"/>
      <c r="IX28" s="361"/>
      <c r="IY28" s="346" t="s">
        <v>71</v>
      </c>
      <c r="IZ28" s="346"/>
      <c r="JA28" s="346"/>
      <c r="JB28" s="346"/>
      <c r="JC28" s="346"/>
      <c r="JD28" s="346"/>
      <c r="JE28" s="361"/>
    </row>
    <row r="29" spans="1:265" s="175" customFormat="1" ht="19.95" customHeight="1">
      <c r="A29" s="444"/>
      <c r="B29" s="715"/>
      <c r="C29" s="328" t="s">
        <v>75</v>
      </c>
      <c r="D29" s="336"/>
      <c r="E29" s="445">
        <f>COUNTIFS(Table1351452010[[#All],[Sales]],"คุณพัชรพรรณ พึ่งพา",Table1351452010[[#All],[Total 
คอมฯค่าเชื่อมสัญญาณ
(3)]],"&gt;1")</f>
        <v>0</v>
      </c>
      <c r="F29" s="446">
        <f>SUMIF(Table1351452010[[#All],[Sales]],"คุณพัชรพรรณ พึ่งพา",Table1351452010[[#All],[Total 
คอมฯค่าเชื่อมสัญญาณ
(3)]])</f>
        <v>0</v>
      </c>
      <c r="G29" s="433">
        <v>0</v>
      </c>
      <c r="H29" s="435">
        <f t="shared" si="3"/>
        <v>0</v>
      </c>
      <c r="I29" s="359"/>
      <c r="J29" s="359"/>
      <c r="K29" s="359"/>
      <c r="L29" s="359"/>
      <c r="M29" s="360"/>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1"/>
      <c r="AK29" s="361"/>
      <c r="AL29" s="361"/>
      <c r="AM29" s="361"/>
      <c r="AN29" s="361"/>
      <c r="AO29" s="361"/>
      <c r="AP29" s="361"/>
      <c r="AQ29" s="361"/>
      <c r="AR29" s="361"/>
      <c r="AS29" s="361"/>
      <c r="AT29" s="361"/>
      <c r="AU29" s="361"/>
      <c r="AV29" s="361"/>
      <c r="AW29" s="361"/>
      <c r="AX29" s="361"/>
      <c r="AY29" s="361"/>
      <c r="AZ29" s="361"/>
      <c r="BA29" s="361"/>
      <c r="BB29" s="361"/>
      <c r="BC29" s="361"/>
      <c r="BD29" s="361"/>
      <c r="BE29" s="361"/>
      <c r="BF29" s="361"/>
      <c r="BG29" s="361"/>
      <c r="BH29" s="361"/>
      <c r="BI29" s="361"/>
      <c r="BJ29" s="361"/>
      <c r="BK29" s="361"/>
      <c r="BL29" s="361"/>
      <c r="BM29" s="361"/>
      <c r="BN29" s="361"/>
      <c r="BO29" s="361"/>
      <c r="BP29" s="361"/>
      <c r="BQ29" s="361"/>
      <c r="BR29" s="361"/>
      <c r="BS29" s="361"/>
      <c r="BT29" s="361"/>
      <c r="BU29" s="361"/>
      <c r="BV29" s="361"/>
      <c r="BW29" s="361"/>
      <c r="BX29" s="361"/>
      <c r="BY29" s="361"/>
      <c r="BZ29" s="361"/>
      <c r="CA29" s="361"/>
      <c r="CB29" s="361"/>
      <c r="CC29" s="361"/>
      <c r="CD29" s="361"/>
      <c r="CE29" s="361"/>
      <c r="CF29" s="361"/>
      <c r="CG29" s="361"/>
      <c r="CH29" s="361"/>
      <c r="CI29" s="361"/>
      <c r="CJ29" s="361"/>
      <c r="CK29" s="361"/>
      <c r="CL29" s="361"/>
      <c r="CM29" s="361"/>
      <c r="CN29" s="361"/>
      <c r="CO29" s="361"/>
      <c r="CP29" s="361"/>
      <c r="CQ29" s="361"/>
      <c r="CR29" s="361"/>
      <c r="CS29" s="361"/>
      <c r="CT29" s="361"/>
      <c r="CU29" s="361"/>
      <c r="CV29" s="361"/>
      <c r="CW29" s="361"/>
      <c r="CX29" s="361"/>
      <c r="CY29" s="361"/>
      <c r="CZ29" s="361"/>
      <c r="DA29" s="361"/>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1"/>
      <c r="EK29" s="361"/>
      <c r="EL29" s="361"/>
      <c r="EM29" s="361"/>
      <c r="EN29" s="361"/>
      <c r="EO29" s="361"/>
      <c r="EP29" s="361"/>
      <c r="EQ29" s="361"/>
      <c r="ER29" s="361"/>
      <c r="ES29" s="361"/>
      <c r="ET29" s="361"/>
      <c r="EU29" s="361"/>
      <c r="EV29" s="361"/>
      <c r="EW29" s="361"/>
      <c r="EX29" s="361"/>
      <c r="EY29" s="361"/>
      <c r="EZ29" s="361"/>
      <c r="FA29" s="361"/>
      <c r="FB29" s="361"/>
      <c r="FC29" s="361"/>
      <c r="FD29" s="361"/>
      <c r="FE29" s="361"/>
      <c r="FF29" s="361"/>
      <c r="FG29" s="361"/>
      <c r="FH29" s="361"/>
      <c r="FI29" s="361"/>
      <c r="FJ29" s="361"/>
      <c r="FK29" s="361"/>
      <c r="FL29" s="361"/>
      <c r="FM29" s="361"/>
      <c r="FN29" s="361"/>
      <c r="FO29" s="361"/>
      <c r="FP29" s="361"/>
      <c r="FQ29" s="361"/>
      <c r="FR29" s="361"/>
      <c r="FS29" s="361"/>
      <c r="FT29" s="361"/>
      <c r="FU29" s="361"/>
      <c r="FV29" s="361"/>
      <c r="FW29" s="361"/>
      <c r="FX29" s="361"/>
      <c r="FY29" s="361"/>
      <c r="FZ29" s="361"/>
      <c r="GA29" s="361"/>
      <c r="GB29" s="361"/>
      <c r="GC29" s="361"/>
      <c r="GD29" s="361"/>
      <c r="GE29" s="361"/>
      <c r="GF29" s="361"/>
      <c r="GG29" s="361"/>
      <c r="GH29" s="361"/>
      <c r="GI29" s="361"/>
      <c r="GJ29" s="361"/>
      <c r="GK29" s="361"/>
      <c r="GL29" s="361"/>
      <c r="GM29" s="361"/>
      <c r="GN29" s="361"/>
      <c r="GO29" s="361"/>
      <c r="GP29" s="361"/>
      <c r="GQ29" s="361"/>
      <c r="GR29" s="361"/>
      <c r="GS29" s="361"/>
      <c r="GT29" s="361"/>
      <c r="GU29" s="361"/>
      <c r="GV29" s="361"/>
      <c r="GW29" s="361"/>
      <c r="GX29" s="361"/>
      <c r="GY29" s="361"/>
      <c r="GZ29" s="361"/>
      <c r="HA29" s="361"/>
      <c r="HB29" s="361"/>
      <c r="HC29" s="361"/>
      <c r="HD29" s="361"/>
      <c r="HE29" s="361"/>
      <c r="HF29" s="361"/>
      <c r="HG29" s="361"/>
      <c r="HH29" s="361"/>
      <c r="HI29" s="361"/>
      <c r="HJ29" s="361"/>
      <c r="HK29" s="361"/>
      <c r="HL29" s="361"/>
      <c r="HM29" s="361"/>
      <c r="HN29" s="361"/>
      <c r="HO29" s="361"/>
      <c r="HP29" s="361"/>
      <c r="HQ29" s="361"/>
      <c r="HR29" s="361"/>
      <c r="HS29" s="361"/>
      <c r="HT29" s="361"/>
      <c r="HU29" s="361"/>
      <c r="HV29" s="361"/>
      <c r="HW29" s="361"/>
      <c r="HX29" s="361"/>
      <c r="HY29" s="361"/>
      <c r="HZ29" s="361"/>
      <c r="IA29" s="361"/>
      <c r="IB29" s="361"/>
      <c r="IC29" s="361"/>
      <c r="ID29" s="361"/>
      <c r="IE29" s="361"/>
      <c r="IF29" s="361"/>
      <c r="IG29" s="361"/>
      <c r="IH29" s="361"/>
      <c r="II29" s="361"/>
      <c r="IJ29" s="361"/>
      <c r="IK29" s="361"/>
      <c r="IL29" s="361"/>
      <c r="IM29" s="361"/>
      <c r="IN29" s="361"/>
      <c r="IO29" s="361"/>
      <c r="IP29" s="361"/>
      <c r="IQ29" s="361"/>
      <c r="IR29" s="361"/>
      <c r="IS29" s="361"/>
      <c r="IT29" s="361"/>
      <c r="IU29" s="361"/>
      <c r="IV29" s="361"/>
      <c r="IW29" s="361"/>
      <c r="IX29" s="361"/>
      <c r="IY29" s="346" t="s">
        <v>73</v>
      </c>
      <c r="IZ29" s="346"/>
      <c r="JA29" s="346"/>
      <c r="JB29" s="346"/>
      <c r="JC29" s="346"/>
      <c r="JD29" s="346"/>
      <c r="JE29" s="361"/>
    </row>
    <row r="30" spans="1:265" s="175" customFormat="1" ht="19.95" customHeight="1">
      <c r="A30" s="444"/>
      <c r="B30" s="715"/>
      <c r="C30" s="328" t="s">
        <v>152</v>
      </c>
      <c r="D30" s="336"/>
      <c r="E30" s="445">
        <f>COUNTIFS(Table1351452010[[#All],[Sales]],"คุณนรินทร์ ปิงมูล",Table1351452010[[#All],[Total 
คอมฯค่าเชื่อมสัญญาณ
(3)]],"&gt;1")</f>
        <v>0</v>
      </c>
      <c r="F30" s="446">
        <f>SUMIF(Table1351452010[[#All],[Sales]],"คุณนรินทร์ ปิงมูล",Table1351452010[[#All],[Total 
คอมฯค่าเชื่อมสัญญาณ
(3)]])</f>
        <v>0</v>
      </c>
      <c r="G30" s="433">
        <v>0</v>
      </c>
      <c r="H30" s="435">
        <f t="shared" si="3"/>
        <v>0</v>
      </c>
      <c r="I30" s="359"/>
      <c r="J30" s="359"/>
      <c r="K30" s="359"/>
      <c r="L30" s="359"/>
      <c r="M30" s="360"/>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1"/>
      <c r="AK30" s="361"/>
      <c r="AL30" s="361"/>
      <c r="AM30" s="361"/>
      <c r="AN30" s="361"/>
      <c r="AO30" s="361"/>
      <c r="AP30" s="361"/>
      <c r="AQ30" s="361"/>
      <c r="AR30" s="361"/>
      <c r="AS30" s="361"/>
      <c r="AT30" s="361"/>
      <c r="AU30" s="361"/>
      <c r="AV30" s="361"/>
      <c r="AW30" s="361"/>
      <c r="AX30" s="361"/>
      <c r="AY30" s="361"/>
      <c r="AZ30" s="361"/>
      <c r="BA30" s="361"/>
      <c r="BB30" s="361"/>
      <c r="BC30" s="361"/>
      <c r="BD30" s="361"/>
      <c r="BE30" s="361"/>
      <c r="BF30" s="361"/>
      <c r="BG30" s="361"/>
      <c r="BH30" s="361"/>
      <c r="BI30" s="361"/>
      <c r="BJ30" s="361"/>
      <c r="BK30" s="361"/>
      <c r="BL30" s="361"/>
      <c r="BM30" s="361"/>
      <c r="BN30" s="361"/>
      <c r="BO30" s="361"/>
      <c r="BP30" s="361"/>
      <c r="BQ30" s="361"/>
      <c r="BR30" s="361"/>
      <c r="BS30" s="361"/>
      <c r="BT30" s="361"/>
      <c r="BU30" s="361"/>
      <c r="BV30" s="361"/>
      <c r="BW30" s="361"/>
      <c r="BX30" s="361"/>
      <c r="BY30" s="361"/>
      <c r="BZ30" s="361"/>
      <c r="CA30" s="361"/>
      <c r="CB30" s="361"/>
      <c r="CC30" s="361"/>
      <c r="CD30" s="361"/>
      <c r="CE30" s="361"/>
      <c r="CF30" s="361"/>
      <c r="CG30" s="361"/>
      <c r="CH30" s="361"/>
      <c r="CI30" s="361"/>
      <c r="CJ30" s="361"/>
      <c r="CK30" s="361"/>
      <c r="CL30" s="361"/>
      <c r="CM30" s="361"/>
      <c r="CN30" s="361"/>
      <c r="CO30" s="361"/>
      <c r="CP30" s="361"/>
      <c r="CQ30" s="361"/>
      <c r="CR30" s="361"/>
      <c r="CS30" s="361"/>
      <c r="CT30" s="361"/>
      <c r="CU30" s="361"/>
      <c r="CV30" s="361"/>
      <c r="CW30" s="361"/>
      <c r="CX30" s="361"/>
      <c r="CY30" s="361"/>
      <c r="CZ30" s="361"/>
      <c r="DA30" s="361"/>
      <c r="DB30" s="361"/>
      <c r="DC30" s="361"/>
      <c r="DD30" s="361"/>
      <c r="DE30" s="361"/>
      <c r="DF30" s="361"/>
      <c r="DG30" s="361"/>
      <c r="DH30" s="361"/>
      <c r="DI30" s="361"/>
      <c r="DJ30" s="361"/>
      <c r="DK30" s="361"/>
      <c r="DL30" s="361"/>
      <c r="DM30" s="361"/>
      <c r="DN30" s="361"/>
      <c r="DO30" s="361"/>
      <c r="DP30" s="361"/>
      <c r="DQ30" s="361"/>
      <c r="DR30" s="361"/>
      <c r="DS30" s="361"/>
      <c r="DT30" s="361"/>
      <c r="DU30" s="361"/>
      <c r="DV30" s="361"/>
      <c r="DW30" s="361"/>
      <c r="DX30" s="361"/>
      <c r="DY30" s="361"/>
      <c r="DZ30" s="361"/>
      <c r="EA30" s="361"/>
      <c r="EB30" s="361"/>
      <c r="EC30" s="361"/>
      <c r="ED30" s="361"/>
      <c r="EE30" s="361"/>
      <c r="EF30" s="361"/>
      <c r="EG30" s="361"/>
      <c r="EH30" s="361"/>
      <c r="EI30" s="361"/>
      <c r="EJ30" s="361"/>
      <c r="EK30" s="361"/>
      <c r="EL30" s="361"/>
      <c r="EM30" s="361"/>
      <c r="EN30" s="361"/>
      <c r="EO30" s="361"/>
      <c r="EP30" s="361"/>
      <c r="EQ30" s="361"/>
      <c r="ER30" s="361"/>
      <c r="ES30" s="361"/>
      <c r="ET30" s="361"/>
      <c r="EU30" s="361"/>
      <c r="EV30" s="361"/>
      <c r="EW30" s="361"/>
      <c r="EX30" s="361"/>
      <c r="EY30" s="361"/>
      <c r="EZ30" s="361"/>
      <c r="FA30" s="361"/>
      <c r="FB30" s="361"/>
      <c r="FC30" s="361"/>
      <c r="FD30" s="361"/>
      <c r="FE30" s="361"/>
      <c r="FF30" s="361"/>
      <c r="FG30" s="361"/>
      <c r="FH30" s="361"/>
      <c r="FI30" s="361"/>
      <c r="FJ30" s="361"/>
      <c r="FK30" s="361"/>
      <c r="FL30" s="361"/>
      <c r="FM30" s="361"/>
      <c r="FN30" s="361"/>
      <c r="FO30" s="361"/>
      <c r="FP30" s="361"/>
      <c r="FQ30" s="361"/>
      <c r="FR30" s="361"/>
      <c r="FS30" s="361"/>
      <c r="FT30" s="361"/>
      <c r="FU30" s="361"/>
      <c r="FV30" s="361"/>
      <c r="FW30" s="361"/>
      <c r="FX30" s="361"/>
      <c r="FY30" s="361"/>
      <c r="FZ30" s="361"/>
      <c r="GA30" s="361"/>
      <c r="GB30" s="361"/>
      <c r="GC30" s="361"/>
      <c r="GD30" s="361"/>
      <c r="GE30" s="361"/>
      <c r="GF30" s="361"/>
      <c r="GG30" s="361"/>
      <c r="GH30" s="361"/>
      <c r="GI30" s="361"/>
      <c r="GJ30" s="361"/>
      <c r="GK30" s="361"/>
      <c r="GL30" s="361"/>
      <c r="GM30" s="361"/>
      <c r="GN30" s="361"/>
      <c r="GO30" s="361"/>
      <c r="GP30" s="361"/>
      <c r="GQ30" s="361"/>
      <c r="GR30" s="361"/>
      <c r="GS30" s="361"/>
      <c r="GT30" s="361"/>
      <c r="GU30" s="361"/>
      <c r="GV30" s="361"/>
      <c r="GW30" s="361"/>
      <c r="GX30" s="361"/>
      <c r="GY30" s="361"/>
      <c r="GZ30" s="361"/>
      <c r="HA30" s="361"/>
      <c r="HB30" s="361"/>
      <c r="HC30" s="361"/>
      <c r="HD30" s="361"/>
      <c r="HE30" s="361"/>
      <c r="HF30" s="361"/>
      <c r="HG30" s="361"/>
      <c r="HH30" s="361"/>
      <c r="HI30" s="361"/>
      <c r="HJ30" s="361"/>
      <c r="HK30" s="361"/>
      <c r="HL30" s="361"/>
      <c r="HM30" s="361"/>
      <c r="HN30" s="361"/>
      <c r="HO30" s="361"/>
      <c r="HP30" s="361"/>
      <c r="HQ30" s="361"/>
      <c r="HR30" s="361"/>
      <c r="HS30" s="361"/>
      <c r="HT30" s="361"/>
      <c r="HU30" s="361"/>
      <c r="HV30" s="361"/>
      <c r="HW30" s="361"/>
      <c r="HX30" s="361"/>
      <c r="HY30" s="361"/>
      <c r="HZ30" s="361"/>
      <c r="IA30" s="361"/>
      <c r="IB30" s="361"/>
      <c r="IC30" s="361"/>
      <c r="ID30" s="361"/>
      <c r="IE30" s="361"/>
      <c r="IF30" s="361"/>
      <c r="IG30" s="361"/>
      <c r="IH30" s="361"/>
      <c r="II30" s="361"/>
      <c r="IJ30" s="361"/>
      <c r="IK30" s="361"/>
      <c r="IL30" s="361"/>
      <c r="IM30" s="361"/>
      <c r="IN30" s="361"/>
      <c r="IO30" s="361"/>
      <c r="IP30" s="361"/>
      <c r="IQ30" s="361"/>
      <c r="IR30" s="361"/>
      <c r="IS30" s="361"/>
      <c r="IT30" s="361"/>
      <c r="IU30" s="361"/>
      <c r="IV30" s="361"/>
      <c r="IW30" s="361"/>
      <c r="IX30" s="361"/>
      <c r="IY30" s="346" t="s">
        <v>74</v>
      </c>
      <c r="IZ30" s="346"/>
      <c r="JA30" s="346"/>
      <c r="JB30" s="346"/>
      <c r="JC30" s="346"/>
      <c r="JD30" s="346"/>
      <c r="JE30" s="361"/>
    </row>
    <row r="31" spans="1:265" s="175" customFormat="1" ht="19.95" customHeight="1">
      <c r="A31" s="444"/>
      <c r="B31" s="715"/>
      <c r="C31" s="328" t="s">
        <v>130</v>
      </c>
      <c r="D31" s="336"/>
      <c r="E31" s="445">
        <f>COUNTIFS(Table1351452010[[#All],[Sales]],"คุณชนัฐฎา สนคะมี",Table1351452010[[#All],[Total 
คอมฯค่าเชื่อมสัญญาณ
(3)]],"&gt;1")</f>
        <v>0</v>
      </c>
      <c r="F31" s="446">
        <f>SUMIF(Table1351452010[[#All],[Sales]],"คุณชนัฐฎา สนคะมี",Table1351452010[[#All],[Total 
คอมฯค่าเชื่อมสัญญาณ
(3)]])</f>
        <v>0</v>
      </c>
      <c r="G31" s="433">
        <v>0</v>
      </c>
      <c r="H31" s="435">
        <f t="shared" si="3"/>
        <v>0</v>
      </c>
      <c r="I31" s="359"/>
      <c r="J31" s="359"/>
      <c r="K31" s="359"/>
      <c r="L31" s="359"/>
      <c r="M31" s="360"/>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1"/>
      <c r="AY31" s="361"/>
      <c r="AZ31" s="361"/>
      <c r="BA31" s="361"/>
      <c r="BB31" s="361"/>
      <c r="BC31" s="361"/>
      <c r="BD31" s="361"/>
      <c r="BE31" s="361"/>
      <c r="BF31" s="361"/>
      <c r="BG31" s="361"/>
      <c r="BH31" s="361"/>
      <c r="BI31" s="361"/>
      <c r="BJ31" s="361"/>
      <c r="BK31" s="361"/>
      <c r="BL31" s="361"/>
      <c r="BM31" s="361"/>
      <c r="BN31" s="361"/>
      <c r="BO31" s="361"/>
      <c r="BP31" s="361"/>
      <c r="BQ31" s="361"/>
      <c r="BR31" s="361"/>
      <c r="BS31" s="361"/>
      <c r="BT31" s="361"/>
      <c r="BU31" s="361"/>
      <c r="BV31" s="361"/>
      <c r="BW31" s="361"/>
      <c r="BX31" s="361"/>
      <c r="BY31" s="361"/>
      <c r="BZ31" s="361"/>
      <c r="CA31" s="361"/>
      <c r="CB31" s="361"/>
      <c r="CC31" s="361"/>
      <c r="CD31" s="361"/>
      <c r="CE31" s="361"/>
      <c r="CF31" s="361"/>
      <c r="CG31" s="361"/>
      <c r="CH31" s="361"/>
      <c r="CI31" s="361"/>
      <c r="CJ31" s="361"/>
      <c r="CK31" s="361"/>
      <c r="CL31" s="361"/>
      <c r="CM31" s="361"/>
      <c r="CN31" s="361"/>
      <c r="CO31" s="361"/>
      <c r="CP31" s="361"/>
      <c r="CQ31" s="361"/>
      <c r="CR31" s="361"/>
      <c r="CS31" s="361"/>
      <c r="CT31" s="361"/>
      <c r="CU31" s="361"/>
      <c r="CV31" s="361"/>
      <c r="CW31" s="361"/>
      <c r="CX31" s="361"/>
      <c r="CY31" s="361"/>
      <c r="CZ31" s="361"/>
      <c r="DA31" s="361"/>
      <c r="DB31" s="361"/>
      <c r="DC31" s="361"/>
      <c r="DD31" s="361"/>
      <c r="DE31" s="361"/>
      <c r="DF31" s="361"/>
      <c r="DG31" s="361"/>
      <c r="DH31" s="361"/>
      <c r="DI31" s="361"/>
      <c r="DJ31" s="361"/>
      <c r="DK31" s="361"/>
      <c r="DL31" s="361"/>
      <c r="DM31" s="361"/>
      <c r="DN31" s="361"/>
      <c r="DO31" s="361"/>
      <c r="DP31" s="361"/>
      <c r="DQ31" s="361"/>
      <c r="DR31" s="361"/>
      <c r="DS31" s="361"/>
      <c r="DT31" s="361"/>
      <c r="DU31" s="361"/>
      <c r="DV31" s="361"/>
      <c r="DW31" s="361"/>
      <c r="DX31" s="361"/>
      <c r="DY31" s="361"/>
      <c r="DZ31" s="361"/>
      <c r="EA31" s="361"/>
      <c r="EB31" s="361"/>
      <c r="EC31" s="361"/>
      <c r="ED31" s="361"/>
      <c r="EE31" s="361"/>
      <c r="EF31" s="361"/>
      <c r="EG31" s="361"/>
      <c r="EH31" s="361"/>
      <c r="EI31" s="361"/>
      <c r="EJ31" s="361"/>
      <c r="EK31" s="361"/>
      <c r="EL31" s="361"/>
      <c r="EM31" s="361"/>
      <c r="EN31" s="361"/>
      <c r="EO31" s="361"/>
      <c r="EP31" s="361"/>
      <c r="EQ31" s="361"/>
      <c r="ER31" s="361"/>
      <c r="ES31" s="361"/>
      <c r="ET31" s="361"/>
      <c r="EU31" s="361"/>
      <c r="EV31" s="361"/>
      <c r="EW31" s="361"/>
      <c r="EX31" s="361"/>
      <c r="EY31" s="361"/>
      <c r="EZ31" s="361"/>
      <c r="FA31" s="361"/>
      <c r="FB31" s="361"/>
      <c r="FC31" s="361"/>
      <c r="FD31" s="361"/>
      <c r="FE31" s="361"/>
      <c r="FF31" s="361"/>
      <c r="FG31" s="361"/>
      <c r="FH31" s="361"/>
      <c r="FI31" s="361"/>
      <c r="FJ31" s="361"/>
      <c r="FK31" s="361"/>
      <c r="FL31" s="361"/>
      <c r="FM31" s="361"/>
      <c r="FN31" s="361"/>
      <c r="FO31" s="361"/>
      <c r="FP31" s="361"/>
      <c r="FQ31" s="361"/>
      <c r="FR31" s="361"/>
      <c r="FS31" s="361"/>
      <c r="FT31" s="361"/>
      <c r="FU31" s="361"/>
      <c r="FV31" s="361"/>
      <c r="FW31" s="361"/>
      <c r="FX31" s="361"/>
      <c r="FY31" s="361"/>
      <c r="FZ31" s="361"/>
      <c r="GA31" s="361"/>
      <c r="GB31" s="361"/>
      <c r="GC31" s="361"/>
      <c r="GD31" s="361"/>
      <c r="GE31" s="361"/>
      <c r="GF31" s="361"/>
      <c r="GG31" s="361"/>
      <c r="GH31" s="361"/>
      <c r="GI31" s="361"/>
      <c r="GJ31" s="361"/>
      <c r="GK31" s="361"/>
      <c r="GL31" s="361"/>
      <c r="GM31" s="361"/>
      <c r="GN31" s="361"/>
      <c r="GO31" s="361"/>
      <c r="GP31" s="361"/>
      <c r="GQ31" s="361"/>
      <c r="GR31" s="361"/>
      <c r="GS31" s="361"/>
      <c r="GT31" s="361"/>
      <c r="GU31" s="361"/>
      <c r="GV31" s="361"/>
      <c r="GW31" s="361"/>
      <c r="GX31" s="361"/>
      <c r="GY31" s="361"/>
      <c r="GZ31" s="361"/>
      <c r="HA31" s="361"/>
      <c r="HB31" s="361"/>
      <c r="HC31" s="361"/>
      <c r="HD31" s="361"/>
      <c r="HE31" s="361"/>
      <c r="HF31" s="361"/>
      <c r="HG31" s="361"/>
      <c r="HH31" s="361"/>
      <c r="HI31" s="361"/>
      <c r="HJ31" s="361"/>
      <c r="HK31" s="361"/>
      <c r="HL31" s="361"/>
      <c r="HM31" s="361"/>
      <c r="HN31" s="361"/>
      <c r="HO31" s="361"/>
      <c r="HP31" s="361"/>
      <c r="HQ31" s="361"/>
      <c r="HR31" s="361"/>
      <c r="HS31" s="361"/>
      <c r="HT31" s="361"/>
      <c r="HU31" s="361"/>
      <c r="HV31" s="361"/>
      <c r="HW31" s="361"/>
      <c r="HX31" s="361"/>
      <c r="HY31" s="361"/>
      <c r="HZ31" s="361"/>
      <c r="IA31" s="361"/>
      <c r="IB31" s="361"/>
      <c r="IC31" s="361"/>
      <c r="ID31" s="361"/>
      <c r="IE31" s="361"/>
      <c r="IF31" s="361"/>
      <c r="IG31" s="361"/>
      <c r="IH31" s="361"/>
      <c r="II31" s="361"/>
      <c r="IJ31" s="361"/>
      <c r="IK31" s="361"/>
      <c r="IL31" s="361"/>
      <c r="IM31" s="361"/>
      <c r="IN31" s="361"/>
      <c r="IO31" s="361"/>
      <c r="IP31" s="361"/>
      <c r="IQ31" s="361"/>
      <c r="IR31" s="361"/>
      <c r="IS31" s="361"/>
      <c r="IT31" s="361"/>
      <c r="IU31" s="361"/>
      <c r="IV31" s="361"/>
      <c r="IW31" s="361"/>
      <c r="IX31" s="361"/>
      <c r="IY31" s="346" t="s">
        <v>75</v>
      </c>
      <c r="IZ31" s="346"/>
      <c r="JA31" s="346"/>
      <c r="JB31" s="346"/>
      <c r="JC31" s="346"/>
      <c r="JD31" s="346"/>
      <c r="JE31" s="361"/>
    </row>
    <row r="32" spans="1:265" s="175" customFormat="1" ht="19.95" customHeight="1">
      <c r="A32" s="444"/>
      <c r="B32" s="715"/>
      <c r="C32" s="328" t="s">
        <v>151</v>
      </c>
      <c r="D32" s="336"/>
      <c r="E32" s="445">
        <f>COUNTIFS(Table1351452010[[#All],[Sales]],"คุณจิรภิญญา เป็นปึก",Table1351452010[[#All],[Total 
คอมฯค่าเชื่อมสัญญาณ
(3)]],"&gt;1")</f>
        <v>0</v>
      </c>
      <c r="F32" s="446">
        <f>SUMIF(Table1351452010[[#All],[Sales]],"คุณจิรภิญญา เป็นปึก",Table1351452010[[#All],[Total 
คอมฯค่าเชื่อมสัญญาณ
(3)]])</f>
        <v>0</v>
      </c>
      <c r="G32" s="433">
        <v>0</v>
      </c>
      <c r="H32" s="435">
        <f t="shared" si="3"/>
        <v>0</v>
      </c>
      <c r="I32" s="359"/>
      <c r="J32" s="359"/>
      <c r="K32" s="359"/>
      <c r="L32" s="359"/>
      <c r="M32" s="360"/>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61"/>
      <c r="IQ32" s="361"/>
      <c r="IR32" s="361"/>
      <c r="IS32" s="361"/>
      <c r="IT32" s="361"/>
      <c r="IU32" s="361"/>
      <c r="IV32" s="361"/>
      <c r="IW32" s="361"/>
      <c r="IX32" s="361"/>
      <c r="IY32" s="346" t="s">
        <v>152</v>
      </c>
      <c r="IZ32" s="346"/>
      <c r="JA32" s="346"/>
      <c r="JB32" s="346"/>
      <c r="JC32" s="346"/>
      <c r="JD32" s="346"/>
      <c r="JE32" s="361"/>
    </row>
    <row r="33" spans="1:265" s="175" customFormat="1" ht="19.95" customHeight="1">
      <c r="A33" s="444"/>
      <c r="B33" s="715"/>
      <c r="C33" s="328" t="s">
        <v>72</v>
      </c>
      <c r="D33" s="336"/>
      <c r="E33" s="445">
        <f>COUNTIFS(Table1351452010[[#All],[Sales]],"คุณแดง มูลสองแคว",Table1351452010[[#All],[Total 
คอมฯค่าเชื่อมสัญญาณ
(3)]],"&gt;1")</f>
        <v>0</v>
      </c>
      <c r="F33" s="446">
        <f>SUMIF(Table1351452010[[#All],[Sales]],"คุณแดง มูลสองแคว",Table1351452010[[#All],[Total 
คอมฯค่าเชื่อมสัญญาณ
(3)]])</f>
        <v>0</v>
      </c>
      <c r="G33" s="433">
        <v>0</v>
      </c>
      <c r="H33" s="435">
        <f t="shared" si="3"/>
        <v>0</v>
      </c>
      <c r="I33" s="359"/>
      <c r="J33" s="359"/>
      <c r="K33" s="359"/>
      <c r="L33" s="359"/>
      <c r="M33" s="360"/>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361"/>
      <c r="BI33" s="361"/>
      <c r="BJ33" s="361"/>
      <c r="BK33" s="361"/>
      <c r="BL33" s="361"/>
      <c r="BM33" s="361"/>
      <c r="BN33" s="361"/>
      <c r="BO33" s="361"/>
      <c r="BP33" s="361"/>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61"/>
      <c r="CN33" s="361"/>
      <c r="CO33" s="361"/>
      <c r="CP33" s="361"/>
      <c r="CQ33" s="361"/>
      <c r="CR33" s="361"/>
      <c r="CS33" s="361"/>
      <c r="CT33" s="361"/>
      <c r="CU33" s="361"/>
      <c r="CV33" s="361"/>
      <c r="CW33" s="361"/>
      <c r="CX33" s="361"/>
      <c r="CY33" s="361"/>
      <c r="CZ33" s="361"/>
      <c r="DA33" s="361"/>
      <c r="DB33" s="361"/>
      <c r="DC33" s="361"/>
      <c r="DD33" s="361"/>
      <c r="DE33" s="361"/>
      <c r="DF33" s="361"/>
      <c r="DG33" s="361"/>
      <c r="DH33" s="361"/>
      <c r="DI33" s="361"/>
      <c r="DJ33" s="361"/>
      <c r="DK33" s="361"/>
      <c r="DL33" s="361"/>
      <c r="DM33" s="361"/>
      <c r="DN33" s="361"/>
      <c r="DO33" s="361"/>
      <c r="DP33" s="361"/>
      <c r="DQ33" s="361"/>
      <c r="DR33" s="361"/>
      <c r="DS33" s="361"/>
      <c r="DT33" s="361"/>
      <c r="DU33" s="361"/>
      <c r="DV33" s="361"/>
      <c r="DW33" s="361"/>
      <c r="DX33" s="361"/>
      <c r="DY33" s="361"/>
      <c r="DZ33" s="361"/>
      <c r="EA33" s="361"/>
      <c r="EB33" s="361"/>
      <c r="EC33" s="361"/>
      <c r="ED33" s="361"/>
      <c r="EE33" s="361"/>
      <c r="EF33" s="361"/>
      <c r="EG33" s="361"/>
      <c r="EH33" s="361"/>
      <c r="EI33" s="361"/>
      <c r="EJ33" s="361"/>
      <c r="EK33" s="361"/>
      <c r="EL33" s="361"/>
      <c r="EM33" s="361"/>
      <c r="EN33" s="361"/>
      <c r="EO33" s="361"/>
      <c r="EP33" s="361"/>
      <c r="EQ33" s="361"/>
      <c r="ER33" s="361"/>
      <c r="ES33" s="361"/>
      <c r="ET33" s="361"/>
      <c r="EU33" s="361"/>
      <c r="EV33" s="361"/>
      <c r="EW33" s="361"/>
      <c r="EX33" s="361"/>
      <c r="EY33" s="361"/>
      <c r="EZ33" s="361"/>
      <c r="FA33" s="361"/>
      <c r="FB33" s="361"/>
      <c r="FC33" s="361"/>
      <c r="FD33" s="361"/>
      <c r="FE33" s="361"/>
      <c r="FF33" s="361"/>
      <c r="FG33" s="361"/>
      <c r="FH33" s="361"/>
      <c r="FI33" s="361"/>
      <c r="FJ33" s="361"/>
      <c r="FK33" s="361"/>
      <c r="FL33" s="361"/>
      <c r="FM33" s="361"/>
      <c r="FN33" s="361"/>
      <c r="FO33" s="361"/>
      <c r="FP33" s="361"/>
      <c r="FQ33" s="361"/>
      <c r="FR33" s="361"/>
      <c r="FS33" s="361"/>
      <c r="FT33" s="361"/>
      <c r="FU33" s="361"/>
      <c r="FV33" s="361"/>
      <c r="FW33" s="361"/>
      <c r="FX33" s="361"/>
      <c r="FY33" s="361"/>
      <c r="FZ33" s="361"/>
      <c r="GA33" s="361"/>
      <c r="GB33" s="361"/>
      <c r="GC33" s="361"/>
      <c r="GD33" s="361"/>
      <c r="GE33" s="361"/>
      <c r="GF33" s="361"/>
      <c r="GG33" s="361"/>
      <c r="GH33" s="361"/>
      <c r="GI33" s="361"/>
      <c r="GJ33" s="361"/>
      <c r="GK33" s="361"/>
      <c r="GL33" s="361"/>
      <c r="GM33" s="361"/>
      <c r="GN33" s="361"/>
      <c r="GO33" s="361"/>
      <c r="GP33" s="361"/>
      <c r="GQ33" s="361"/>
      <c r="GR33" s="361"/>
      <c r="GS33" s="361"/>
      <c r="GT33" s="361"/>
      <c r="GU33" s="361"/>
      <c r="GV33" s="361"/>
      <c r="GW33" s="361"/>
      <c r="GX33" s="361"/>
      <c r="GY33" s="361"/>
      <c r="GZ33" s="361"/>
      <c r="HA33" s="361"/>
      <c r="HB33" s="361"/>
      <c r="HC33" s="361"/>
      <c r="HD33" s="361"/>
      <c r="HE33" s="361"/>
      <c r="HF33" s="361"/>
      <c r="HG33" s="361"/>
      <c r="HH33" s="361"/>
      <c r="HI33" s="361"/>
      <c r="HJ33" s="361"/>
      <c r="HK33" s="361"/>
      <c r="HL33" s="361"/>
      <c r="HM33" s="361"/>
      <c r="HN33" s="361"/>
      <c r="HO33" s="361"/>
      <c r="HP33" s="361"/>
      <c r="HQ33" s="361"/>
      <c r="HR33" s="361"/>
      <c r="HS33" s="361"/>
      <c r="HT33" s="361"/>
      <c r="HU33" s="361"/>
      <c r="HV33" s="361"/>
      <c r="HW33" s="361"/>
      <c r="HX33" s="361"/>
      <c r="HY33" s="361"/>
      <c r="HZ33" s="361"/>
      <c r="IA33" s="361"/>
      <c r="IB33" s="361"/>
      <c r="IC33" s="361"/>
      <c r="ID33" s="361"/>
      <c r="IE33" s="361"/>
      <c r="IF33" s="361"/>
      <c r="IG33" s="361"/>
      <c r="IH33" s="361"/>
      <c r="II33" s="361"/>
      <c r="IJ33" s="361"/>
      <c r="IK33" s="361"/>
      <c r="IL33" s="361"/>
      <c r="IM33" s="361"/>
      <c r="IN33" s="361"/>
      <c r="IO33" s="361"/>
      <c r="IP33" s="361"/>
      <c r="IQ33" s="361"/>
      <c r="IR33" s="361"/>
      <c r="IS33" s="361"/>
      <c r="IT33" s="361"/>
      <c r="IU33" s="361"/>
      <c r="IV33" s="361"/>
      <c r="IW33" s="361"/>
      <c r="IX33" s="361"/>
      <c r="IY33" s="346" t="s">
        <v>130</v>
      </c>
      <c r="IZ33" s="346"/>
      <c r="JA33" s="346"/>
      <c r="JB33" s="346"/>
      <c r="JC33" s="346"/>
      <c r="JD33" s="346"/>
      <c r="JE33" s="361"/>
    </row>
    <row r="34" spans="1:265" s="175" customFormat="1" ht="19.95" customHeight="1" thickBot="1">
      <c r="A34" s="444"/>
      <c r="B34" s="335"/>
      <c r="C34" s="328" t="s">
        <v>67</v>
      </c>
      <c r="D34" s="336"/>
      <c r="E34" s="445">
        <f>COUNTIFS(Table1351452010[[#All],[Sales]],"คุณรุ่งอรุณ อินบุญรอด",Table1351452010[[#All],[Total 
คอมฯค่าเชื่อมสัญญาณ
(3)]],"&gt;1")</f>
        <v>0</v>
      </c>
      <c r="F34" s="446">
        <f>SUMIF(Table1351452010[[#All],[Sales]],"คุณรุ่งอรุณ อินบุญรอด",Table1351452010[[#All],[Total 
คอมฯค่าเชื่อมสัญญาณ
(3)]])</f>
        <v>0</v>
      </c>
      <c r="G34" s="433">
        <v>0</v>
      </c>
      <c r="H34" s="435">
        <f t="shared" si="3"/>
        <v>0</v>
      </c>
      <c r="I34" s="359"/>
      <c r="J34" s="359"/>
      <c r="K34" s="359"/>
      <c r="L34" s="359"/>
      <c r="M34" s="360"/>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1"/>
      <c r="DJ34" s="361"/>
      <c r="DK34" s="361"/>
      <c r="DL34" s="361"/>
      <c r="DM34" s="361"/>
      <c r="DN34" s="361"/>
      <c r="DO34" s="361"/>
      <c r="DP34" s="361"/>
      <c r="DQ34" s="361"/>
      <c r="DR34" s="361"/>
      <c r="DS34" s="361"/>
      <c r="DT34" s="361"/>
      <c r="DU34" s="361"/>
      <c r="DV34" s="361"/>
      <c r="DW34" s="361"/>
      <c r="DX34" s="361"/>
      <c r="DY34" s="361"/>
      <c r="DZ34" s="361"/>
      <c r="EA34" s="361"/>
      <c r="EB34" s="361"/>
      <c r="EC34" s="361"/>
      <c r="ED34" s="361"/>
      <c r="EE34" s="361"/>
      <c r="EF34" s="361"/>
      <c r="EG34" s="361"/>
      <c r="EH34" s="361"/>
      <c r="EI34" s="361"/>
      <c r="EJ34" s="361"/>
      <c r="EK34" s="361"/>
      <c r="EL34" s="361"/>
      <c r="EM34" s="361"/>
      <c r="EN34" s="361"/>
      <c r="EO34" s="361"/>
      <c r="EP34" s="361"/>
      <c r="EQ34" s="361"/>
      <c r="ER34" s="361"/>
      <c r="ES34" s="361"/>
      <c r="ET34" s="361"/>
      <c r="EU34" s="361"/>
      <c r="EV34" s="361"/>
      <c r="EW34" s="361"/>
      <c r="EX34" s="361"/>
      <c r="EY34" s="361"/>
      <c r="EZ34" s="361"/>
      <c r="FA34" s="361"/>
      <c r="FB34" s="361"/>
      <c r="FC34" s="361"/>
      <c r="FD34" s="361"/>
      <c r="FE34" s="361"/>
      <c r="FF34" s="361"/>
      <c r="FG34" s="361"/>
      <c r="FH34" s="361"/>
      <c r="FI34" s="361"/>
      <c r="FJ34" s="361"/>
      <c r="FK34" s="361"/>
      <c r="FL34" s="361"/>
      <c r="FM34" s="361"/>
      <c r="FN34" s="361"/>
      <c r="FO34" s="361"/>
      <c r="FP34" s="361"/>
      <c r="FQ34" s="361"/>
      <c r="FR34" s="361"/>
      <c r="FS34" s="361"/>
      <c r="FT34" s="361"/>
      <c r="FU34" s="361"/>
      <c r="FV34" s="361"/>
      <c r="FW34" s="361"/>
      <c r="FX34" s="361"/>
      <c r="FY34" s="361"/>
      <c r="FZ34" s="361"/>
      <c r="GA34" s="361"/>
      <c r="GB34" s="361"/>
      <c r="GC34" s="361"/>
      <c r="GD34" s="361"/>
      <c r="GE34" s="361"/>
      <c r="GF34" s="361"/>
      <c r="GG34" s="361"/>
      <c r="GH34" s="361"/>
      <c r="GI34" s="361"/>
      <c r="GJ34" s="361"/>
      <c r="GK34" s="361"/>
      <c r="GL34" s="361"/>
      <c r="GM34" s="361"/>
      <c r="GN34" s="361"/>
      <c r="GO34" s="361"/>
      <c r="GP34" s="361"/>
      <c r="GQ34" s="361"/>
      <c r="GR34" s="361"/>
      <c r="GS34" s="361"/>
      <c r="GT34" s="361"/>
      <c r="GU34" s="361"/>
      <c r="GV34" s="361"/>
      <c r="GW34" s="361"/>
      <c r="GX34" s="361"/>
      <c r="GY34" s="361"/>
      <c r="GZ34" s="361"/>
      <c r="HA34" s="361"/>
      <c r="HB34" s="361"/>
      <c r="HC34" s="361"/>
      <c r="HD34" s="361"/>
      <c r="HE34" s="361"/>
      <c r="HF34" s="361"/>
      <c r="HG34" s="361"/>
      <c r="HH34" s="361"/>
      <c r="HI34" s="361"/>
      <c r="HJ34" s="361"/>
      <c r="HK34" s="361"/>
      <c r="HL34" s="361"/>
      <c r="HM34" s="361"/>
      <c r="HN34" s="361"/>
      <c r="HO34" s="361"/>
      <c r="HP34" s="361"/>
      <c r="HQ34" s="361"/>
      <c r="HR34" s="361"/>
      <c r="HS34" s="361"/>
      <c r="HT34" s="361"/>
      <c r="HU34" s="361"/>
      <c r="HV34" s="361"/>
      <c r="HW34" s="361"/>
      <c r="HX34" s="361"/>
      <c r="HY34" s="361"/>
      <c r="HZ34" s="361"/>
      <c r="IA34" s="361"/>
      <c r="IB34" s="361"/>
      <c r="IC34" s="361"/>
      <c r="ID34" s="361"/>
      <c r="IE34" s="361"/>
      <c r="IF34" s="361"/>
      <c r="IG34" s="361"/>
      <c r="IH34" s="361"/>
      <c r="II34" s="361"/>
      <c r="IJ34" s="361"/>
      <c r="IK34" s="361"/>
      <c r="IL34" s="361"/>
      <c r="IM34" s="361"/>
      <c r="IN34" s="361"/>
      <c r="IO34" s="361"/>
      <c r="IP34" s="361"/>
      <c r="IQ34" s="361"/>
      <c r="IR34" s="361"/>
      <c r="IS34" s="361"/>
      <c r="IT34" s="361"/>
      <c r="IU34" s="361"/>
      <c r="IV34" s="361"/>
      <c r="IW34" s="361"/>
      <c r="IX34" s="361"/>
      <c r="IY34" s="346" t="s">
        <v>72</v>
      </c>
      <c r="IZ34" s="346"/>
      <c r="JA34" s="346"/>
      <c r="JB34" s="346"/>
      <c r="JC34" s="346"/>
      <c r="JD34" s="346"/>
      <c r="JE34" s="361"/>
    </row>
    <row r="35" spans="1:265" s="175" customFormat="1" ht="21" customHeight="1" thickBot="1">
      <c r="A35" s="447"/>
      <c r="B35" s="448" t="s">
        <v>12</v>
      </c>
      <c r="C35" s="448"/>
      <c r="D35" s="448"/>
      <c r="E35" s="449">
        <f>SUM(E5:E34)</f>
        <v>15</v>
      </c>
      <c r="F35" s="450">
        <f>SUM(F5:F34)</f>
        <v>143776.23000000001</v>
      </c>
      <c r="G35" s="450">
        <f>SUM(G5:G34)</f>
        <v>5377.6492000000007</v>
      </c>
      <c r="H35" s="451">
        <f>SUM(H5:H34)</f>
        <v>138398.5808</v>
      </c>
      <c r="I35" s="360"/>
      <c r="J35" s="360"/>
      <c r="K35" s="359"/>
      <c r="L35" s="359"/>
      <c r="M35" s="360"/>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c r="AO35" s="361"/>
      <c r="AP35" s="361"/>
      <c r="AQ35" s="361"/>
      <c r="AR35" s="361"/>
      <c r="AS35" s="361"/>
      <c r="AT35" s="361"/>
      <c r="AU35" s="361"/>
      <c r="AV35" s="361"/>
      <c r="AW35" s="361"/>
      <c r="AX35" s="361"/>
      <c r="AY35" s="361"/>
      <c r="AZ35" s="361"/>
      <c r="BA35" s="361"/>
      <c r="BB35" s="361"/>
      <c r="BC35" s="361"/>
      <c r="BD35" s="361"/>
      <c r="BE35" s="361"/>
      <c r="BF35" s="361"/>
      <c r="BG35" s="361"/>
      <c r="BH35" s="361"/>
      <c r="BI35" s="361"/>
      <c r="BJ35" s="361"/>
      <c r="BK35" s="361"/>
      <c r="BL35" s="361"/>
      <c r="BM35" s="361"/>
      <c r="BN35" s="361"/>
      <c r="BO35" s="361"/>
      <c r="BP35" s="361"/>
      <c r="BQ35" s="361"/>
      <c r="BR35" s="361"/>
      <c r="BS35" s="361"/>
      <c r="BT35" s="361"/>
      <c r="BU35" s="361"/>
      <c r="BV35" s="361"/>
      <c r="BW35" s="361"/>
      <c r="BX35" s="361"/>
      <c r="BY35" s="361"/>
      <c r="BZ35" s="361"/>
      <c r="CA35" s="361"/>
      <c r="CB35" s="361"/>
      <c r="CC35" s="361"/>
      <c r="CD35" s="361"/>
      <c r="CE35" s="361"/>
      <c r="CF35" s="361"/>
      <c r="CG35" s="361"/>
      <c r="CH35" s="361"/>
      <c r="CI35" s="361"/>
      <c r="CJ35" s="361"/>
      <c r="CK35" s="361"/>
      <c r="CL35" s="361"/>
      <c r="CM35" s="361"/>
      <c r="CN35" s="361"/>
      <c r="CO35" s="361"/>
      <c r="CP35" s="361"/>
      <c r="CQ35" s="361"/>
      <c r="CR35" s="361"/>
      <c r="CS35" s="361"/>
      <c r="CT35" s="361"/>
      <c r="CU35" s="361"/>
      <c r="CV35" s="361"/>
      <c r="CW35" s="361"/>
      <c r="CX35" s="361"/>
      <c r="CY35" s="361"/>
      <c r="CZ35" s="361"/>
      <c r="DA35" s="361"/>
      <c r="DB35" s="361"/>
      <c r="DC35" s="361"/>
      <c r="DD35" s="361"/>
      <c r="DE35" s="361"/>
      <c r="DF35" s="361"/>
      <c r="DG35" s="361"/>
      <c r="DH35" s="361"/>
      <c r="DI35" s="361"/>
      <c r="DJ35" s="361"/>
      <c r="DK35" s="361"/>
      <c r="DL35" s="361"/>
      <c r="DM35" s="361"/>
      <c r="DN35" s="361"/>
      <c r="DO35" s="361"/>
      <c r="DP35" s="361"/>
      <c r="DQ35" s="361"/>
      <c r="DR35" s="361"/>
      <c r="DS35" s="361"/>
      <c r="DT35" s="361"/>
      <c r="DU35" s="361"/>
      <c r="DV35" s="361"/>
      <c r="DW35" s="361"/>
      <c r="DX35" s="361"/>
      <c r="DY35" s="361"/>
      <c r="DZ35" s="361"/>
      <c r="EA35" s="361"/>
      <c r="EB35" s="361"/>
      <c r="EC35" s="361"/>
      <c r="ED35" s="361"/>
      <c r="EE35" s="361"/>
      <c r="EF35" s="361"/>
      <c r="EG35" s="361"/>
      <c r="EH35" s="361"/>
      <c r="EI35" s="361"/>
      <c r="EJ35" s="361"/>
      <c r="EK35" s="361"/>
      <c r="EL35" s="361"/>
      <c r="EM35" s="361"/>
      <c r="EN35" s="361"/>
      <c r="EO35" s="361"/>
      <c r="EP35" s="361"/>
      <c r="EQ35" s="361"/>
      <c r="ER35" s="361"/>
      <c r="ES35" s="361"/>
      <c r="ET35" s="361"/>
      <c r="EU35" s="361"/>
      <c r="EV35" s="361"/>
      <c r="EW35" s="361"/>
      <c r="EX35" s="361"/>
      <c r="EY35" s="361"/>
      <c r="EZ35" s="361"/>
      <c r="FA35" s="361"/>
      <c r="FB35" s="361"/>
      <c r="FC35" s="361"/>
      <c r="FD35" s="361"/>
      <c r="FE35" s="361"/>
      <c r="FF35" s="361"/>
      <c r="FG35" s="361"/>
      <c r="FH35" s="361"/>
      <c r="FI35" s="361"/>
      <c r="FJ35" s="361"/>
      <c r="FK35" s="361"/>
      <c r="FL35" s="361"/>
      <c r="FM35" s="361"/>
      <c r="FN35" s="361"/>
      <c r="FO35" s="361"/>
      <c r="FP35" s="361"/>
      <c r="FQ35" s="361"/>
      <c r="FR35" s="361"/>
      <c r="FS35" s="361"/>
      <c r="FT35" s="361"/>
      <c r="FU35" s="361"/>
      <c r="FV35" s="361"/>
      <c r="FW35" s="361"/>
      <c r="FX35" s="361"/>
      <c r="FY35" s="361"/>
      <c r="FZ35" s="361"/>
      <c r="GA35" s="361"/>
      <c r="GB35" s="361"/>
      <c r="GC35" s="361"/>
      <c r="GD35" s="361"/>
      <c r="GE35" s="361"/>
      <c r="GF35" s="361"/>
      <c r="GG35" s="361"/>
      <c r="GH35" s="361"/>
      <c r="GI35" s="361"/>
      <c r="GJ35" s="361"/>
      <c r="GK35" s="361"/>
      <c r="GL35" s="361"/>
      <c r="GM35" s="361"/>
      <c r="GN35" s="361"/>
      <c r="GO35" s="361"/>
      <c r="GP35" s="361"/>
      <c r="GQ35" s="361"/>
      <c r="GR35" s="361"/>
      <c r="GS35" s="361"/>
      <c r="GT35" s="361"/>
      <c r="GU35" s="361"/>
      <c r="GV35" s="361"/>
      <c r="GW35" s="361"/>
      <c r="GX35" s="361"/>
      <c r="GY35" s="361"/>
      <c r="GZ35" s="361"/>
      <c r="HA35" s="361"/>
      <c r="HB35" s="361"/>
      <c r="HC35" s="361"/>
      <c r="HD35" s="361"/>
      <c r="HE35" s="361"/>
      <c r="HF35" s="361"/>
      <c r="HG35" s="361"/>
      <c r="HH35" s="361"/>
      <c r="HI35" s="361"/>
      <c r="HJ35" s="361"/>
      <c r="HK35" s="361"/>
      <c r="HL35" s="361"/>
      <c r="HM35" s="361"/>
      <c r="HN35" s="361"/>
      <c r="HO35" s="361"/>
      <c r="HP35" s="361"/>
      <c r="HQ35" s="361"/>
      <c r="HR35" s="361"/>
      <c r="HS35" s="361"/>
      <c r="HT35" s="361"/>
      <c r="HU35" s="361"/>
      <c r="HV35" s="361"/>
      <c r="HW35" s="361"/>
      <c r="HX35" s="361"/>
      <c r="HY35" s="361"/>
      <c r="HZ35" s="361"/>
      <c r="IA35" s="361"/>
      <c r="IB35" s="361"/>
      <c r="IC35" s="361"/>
      <c r="ID35" s="361"/>
      <c r="IE35" s="361"/>
      <c r="IF35" s="361"/>
      <c r="IG35" s="361"/>
      <c r="IH35" s="361"/>
      <c r="II35" s="361"/>
      <c r="IJ35" s="361"/>
      <c r="IK35" s="361"/>
      <c r="IL35" s="361"/>
      <c r="IM35" s="361"/>
      <c r="IN35" s="361"/>
      <c r="IO35" s="361"/>
      <c r="IP35" s="361"/>
      <c r="IQ35" s="361"/>
      <c r="IR35" s="361"/>
      <c r="IS35" s="361"/>
      <c r="IT35" s="361"/>
      <c r="IU35" s="361"/>
      <c r="IV35" s="361"/>
      <c r="IW35" s="361"/>
      <c r="IX35" s="361"/>
      <c r="IY35" s="346" t="s">
        <v>90</v>
      </c>
      <c r="IZ35" s="346"/>
      <c r="JA35" s="346"/>
      <c r="JB35" s="346"/>
      <c r="JC35" s="346"/>
      <c r="JD35" s="346"/>
      <c r="JE35" s="361"/>
    </row>
    <row r="36" spans="1:265" s="175" customFormat="1" ht="13.95" customHeight="1" thickTop="1">
      <c r="A36" s="361"/>
      <c r="B36" s="367"/>
      <c r="C36" s="367"/>
      <c r="D36" s="367"/>
      <c r="E36" s="366"/>
      <c r="F36" s="366"/>
      <c r="G36" s="366"/>
      <c r="H36" s="366"/>
      <c r="I36" s="366"/>
      <c r="J36" s="361"/>
      <c r="K36" s="360"/>
      <c r="L36" s="360"/>
      <c r="M36" s="361"/>
      <c r="N36" s="361"/>
      <c r="IY36" s="346" t="s">
        <v>21</v>
      </c>
      <c r="IZ36" s="346"/>
      <c r="JA36" s="346"/>
      <c r="JB36" s="346"/>
      <c r="JC36" s="346"/>
      <c r="JD36" s="346"/>
      <c r="JE36" s="361"/>
    </row>
    <row r="37" spans="1:265" s="175" customFormat="1" ht="7.95" customHeight="1" thickBot="1">
      <c r="A37" s="361"/>
      <c r="B37" s="367"/>
      <c r="C37" s="367"/>
      <c r="D37" s="367"/>
      <c r="E37" s="366"/>
      <c r="F37" s="366"/>
      <c r="G37" s="366"/>
      <c r="H37" s="366"/>
      <c r="I37" s="366"/>
      <c r="J37" s="361"/>
      <c r="K37" s="360"/>
      <c r="L37" s="360"/>
      <c r="M37" s="361"/>
      <c r="N37" s="361"/>
      <c r="JE37" s="361"/>
    </row>
    <row r="38" spans="1:265" s="692" customFormat="1" ht="19.95" customHeight="1">
      <c r="A38" s="687"/>
      <c r="B38" s="688" t="s">
        <v>288</v>
      </c>
      <c r="C38" s="689"/>
      <c r="D38" s="689"/>
      <c r="E38" s="689"/>
      <c r="F38" s="689"/>
      <c r="G38" s="689"/>
      <c r="H38" s="689"/>
      <c r="I38" s="689"/>
      <c r="J38" s="689"/>
      <c r="K38" s="690"/>
      <c r="L38" s="691"/>
      <c r="M38" s="687"/>
      <c r="JD38" s="687"/>
    </row>
    <row r="39" spans="1:265" s="697" customFormat="1" ht="14.55" customHeight="1">
      <c r="A39" s="693"/>
      <c r="B39" s="694"/>
      <c r="C39" s="695"/>
      <c r="D39" s="695"/>
      <c r="E39" s="695"/>
      <c r="F39" s="695"/>
      <c r="G39" s="695"/>
      <c r="H39" s="695"/>
      <c r="I39" s="695"/>
      <c r="J39" s="695"/>
      <c r="K39" s="696"/>
      <c r="L39" s="691"/>
      <c r="M39" s="693"/>
      <c r="JD39" s="693"/>
    </row>
    <row r="40" spans="1:265" s="703" customFormat="1" ht="33.6" customHeight="1" thickBot="1">
      <c r="A40" s="698"/>
      <c r="B40" s="699" t="s">
        <v>41</v>
      </c>
      <c r="C40" s="700" t="s">
        <v>13</v>
      </c>
      <c r="D40" s="700" t="s">
        <v>35</v>
      </c>
      <c r="E40" s="701" t="s">
        <v>33</v>
      </c>
      <c r="F40" s="701" t="s">
        <v>15</v>
      </c>
      <c r="G40" s="701" t="s">
        <v>34</v>
      </c>
      <c r="H40" s="700" t="s">
        <v>32</v>
      </c>
      <c r="I40" s="700" t="s">
        <v>30</v>
      </c>
      <c r="J40" s="700" t="s">
        <v>76</v>
      </c>
      <c r="K40" s="702" t="s">
        <v>77</v>
      </c>
      <c r="L40" s="691"/>
      <c r="M40" s="698"/>
      <c r="JD40" s="698"/>
    </row>
    <row r="41" spans="1:265" ht="19.95" customHeight="1">
      <c r="A41" s="368"/>
      <c r="B41" s="454" t="s">
        <v>23</v>
      </c>
      <c r="C41" s="455" t="s">
        <v>153</v>
      </c>
      <c r="D41" s="456" t="s">
        <v>70</v>
      </c>
      <c r="E41" s="457">
        <f t="shared" ref="E41:E50" si="4">SUM(G77)</f>
        <v>34577.770200000006</v>
      </c>
      <c r="F41" s="452">
        <v>0</v>
      </c>
      <c r="G41" s="458">
        <f>SUM(E41-F41)</f>
        <v>34577.770200000006</v>
      </c>
      <c r="H41" s="459">
        <v>0</v>
      </c>
      <c r="I41" s="460">
        <f>SUM(G41-H41)</f>
        <v>34577.770200000006</v>
      </c>
      <c r="J41" s="461" t="s">
        <v>88</v>
      </c>
      <c r="K41" s="462" t="s">
        <v>81</v>
      </c>
      <c r="L41" s="629"/>
      <c r="M41" s="368"/>
      <c r="JD41" s="368"/>
    </row>
    <row r="42" spans="1:265" ht="19.95" customHeight="1">
      <c r="A42" s="368"/>
      <c r="B42" s="463"/>
      <c r="C42" s="329" t="s">
        <v>153</v>
      </c>
      <c r="D42" s="197" t="s">
        <v>71</v>
      </c>
      <c r="E42" s="222">
        <f t="shared" si="4"/>
        <v>0</v>
      </c>
      <c r="F42" s="223"/>
      <c r="G42" s="224">
        <f>SUM(E42-F42)</f>
        <v>0</v>
      </c>
      <c r="H42" s="198">
        <v>0</v>
      </c>
      <c r="I42" s="464">
        <f>SUM(G42-H42)</f>
        <v>0</v>
      </c>
      <c r="J42" s="199" t="s">
        <v>88</v>
      </c>
      <c r="K42" s="465" t="s">
        <v>82</v>
      </c>
      <c r="L42" s="629"/>
      <c r="M42" s="368"/>
      <c r="JD42" s="368"/>
    </row>
    <row r="43" spans="1:265" ht="19.95" customHeight="1">
      <c r="A43" s="368"/>
      <c r="B43" s="463"/>
      <c r="C43" s="329" t="s">
        <v>153</v>
      </c>
      <c r="D43" s="197" t="s">
        <v>73</v>
      </c>
      <c r="E43" s="228">
        <f t="shared" si="4"/>
        <v>0</v>
      </c>
      <c r="F43" s="224">
        <v>0</v>
      </c>
      <c r="G43" s="224">
        <f>SUM(E43-F43)</f>
        <v>0</v>
      </c>
      <c r="H43" s="194">
        <v>0</v>
      </c>
      <c r="I43" s="464">
        <f>SUM(G43-H43)</f>
        <v>0</v>
      </c>
      <c r="J43" s="199" t="s">
        <v>88</v>
      </c>
      <c r="K43" s="465" t="s">
        <v>84</v>
      </c>
      <c r="L43" s="629"/>
      <c r="M43" s="368"/>
      <c r="JD43" s="368"/>
    </row>
    <row r="44" spans="1:265" ht="19.95" customHeight="1">
      <c r="A44" s="368"/>
      <c r="B44" s="463"/>
      <c r="C44" s="345" t="s">
        <v>17</v>
      </c>
      <c r="D44" s="197" t="s">
        <v>74</v>
      </c>
      <c r="E44" s="228">
        <f t="shared" si="4"/>
        <v>13499.831999999999</v>
      </c>
      <c r="F44" s="224">
        <v>0</v>
      </c>
      <c r="G44" s="224">
        <f>SUM(E44-F44)</f>
        <v>13499.831999999999</v>
      </c>
      <c r="H44" s="194">
        <v>0</v>
      </c>
      <c r="I44" s="464">
        <f t="shared" ref="I44:I50" si="5">SUM(G44-H44)</f>
        <v>13499.831999999999</v>
      </c>
      <c r="J44" s="199" t="s">
        <v>88</v>
      </c>
      <c r="K44" s="466" t="s">
        <v>161</v>
      </c>
      <c r="L44" s="629"/>
      <c r="M44" s="368"/>
      <c r="JD44" s="368"/>
    </row>
    <row r="45" spans="1:265" ht="20.399999999999999" customHeight="1">
      <c r="A45" s="368"/>
      <c r="B45" s="463"/>
      <c r="C45" s="345" t="s">
        <v>17</v>
      </c>
      <c r="D45" s="197" t="s">
        <v>75</v>
      </c>
      <c r="E45" s="228">
        <f t="shared" si="4"/>
        <v>48725.330999999998</v>
      </c>
      <c r="F45" s="224">
        <v>0</v>
      </c>
      <c r="G45" s="224">
        <f>SUM(E45-F45)</f>
        <v>48725.330999999998</v>
      </c>
      <c r="H45" s="194">
        <v>0</v>
      </c>
      <c r="I45" s="464">
        <f t="shared" si="5"/>
        <v>48725.330999999998</v>
      </c>
      <c r="J45" s="199" t="s">
        <v>88</v>
      </c>
      <c r="K45" s="466" t="s">
        <v>162</v>
      </c>
      <c r="L45" s="629"/>
      <c r="M45" s="368"/>
      <c r="JD45" s="368"/>
    </row>
    <row r="46" spans="1:265" ht="19.95" customHeight="1">
      <c r="A46" s="368"/>
      <c r="B46" s="463"/>
      <c r="C46" s="345" t="s">
        <v>17</v>
      </c>
      <c r="D46" s="197" t="s">
        <v>152</v>
      </c>
      <c r="E46" s="228">
        <f t="shared" si="4"/>
        <v>0</v>
      </c>
      <c r="F46" s="224">
        <v>0</v>
      </c>
      <c r="G46" s="224">
        <f>SUM(E46-F46)</f>
        <v>0</v>
      </c>
      <c r="H46" s="194">
        <v>0</v>
      </c>
      <c r="I46" s="464">
        <f t="shared" si="5"/>
        <v>0</v>
      </c>
      <c r="J46" s="199" t="s">
        <v>88</v>
      </c>
      <c r="K46" s="466" t="s">
        <v>163</v>
      </c>
      <c r="L46" s="629"/>
      <c r="M46" s="368"/>
      <c r="JD46" s="368"/>
    </row>
    <row r="47" spans="1:265" ht="19.95" customHeight="1">
      <c r="A47" s="368"/>
      <c r="B47" s="463"/>
      <c r="C47" s="345" t="s">
        <v>17</v>
      </c>
      <c r="D47" s="197" t="s">
        <v>130</v>
      </c>
      <c r="E47" s="228">
        <f t="shared" si="4"/>
        <v>720</v>
      </c>
      <c r="F47" s="224">
        <v>0</v>
      </c>
      <c r="G47" s="224">
        <f>SUM(E47-F47)</f>
        <v>720</v>
      </c>
      <c r="H47" s="194">
        <v>0</v>
      </c>
      <c r="I47" s="464">
        <f t="shared" si="5"/>
        <v>720</v>
      </c>
      <c r="J47" s="199" t="s">
        <v>88</v>
      </c>
      <c r="K47" s="466" t="s">
        <v>131</v>
      </c>
      <c r="L47" s="629"/>
      <c r="M47" s="368"/>
      <c r="JD47" s="368"/>
    </row>
    <row r="48" spans="1:265" ht="19.95" customHeight="1">
      <c r="A48" s="368"/>
      <c r="B48" s="463"/>
      <c r="C48" s="345" t="s">
        <v>17</v>
      </c>
      <c r="D48" s="197" t="s">
        <v>151</v>
      </c>
      <c r="E48" s="228">
        <f t="shared" si="4"/>
        <v>6006.0024000000003</v>
      </c>
      <c r="F48" s="224">
        <v>0</v>
      </c>
      <c r="G48" s="224">
        <f>SUM(E48-F48)</f>
        <v>6006.0024000000003</v>
      </c>
      <c r="H48" s="194">
        <v>0</v>
      </c>
      <c r="I48" s="464">
        <f t="shared" si="5"/>
        <v>6006.0024000000003</v>
      </c>
      <c r="J48" s="199" t="s">
        <v>88</v>
      </c>
      <c r="K48" s="466" t="s">
        <v>164</v>
      </c>
      <c r="L48" s="629"/>
      <c r="M48" s="368"/>
      <c r="JD48" s="368"/>
    </row>
    <row r="49" spans="1:265" ht="19.95" customHeight="1">
      <c r="A49" s="368"/>
      <c r="B49" s="463"/>
      <c r="C49" s="329" t="s">
        <v>78</v>
      </c>
      <c r="D49" s="197" t="s">
        <v>72</v>
      </c>
      <c r="E49" s="228">
        <f t="shared" si="4"/>
        <v>270</v>
      </c>
      <c r="F49" s="224">
        <v>0</v>
      </c>
      <c r="G49" s="224">
        <f>SUM(E49-F49)</f>
        <v>270</v>
      </c>
      <c r="H49" s="194">
        <v>0</v>
      </c>
      <c r="I49" s="464">
        <f t="shared" si="5"/>
        <v>270</v>
      </c>
      <c r="J49" s="199" t="s">
        <v>88</v>
      </c>
      <c r="K49" s="465" t="s">
        <v>83</v>
      </c>
      <c r="L49" s="629"/>
      <c r="M49" s="368"/>
      <c r="JD49" s="368"/>
    </row>
    <row r="50" spans="1:265" ht="19.95" customHeight="1" thickBot="1">
      <c r="A50" s="368"/>
      <c r="B50" s="463"/>
      <c r="C50" s="329" t="s">
        <v>78</v>
      </c>
      <c r="D50" s="197" t="s">
        <v>67</v>
      </c>
      <c r="E50" s="228">
        <f t="shared" si="4"/>
        <v>0</v>
      </c>
      <c r="F50" s="224">
        <v>0</v>
      </c>
      <c r="G50" s="224">
        <f>SUM(E50-F50)</f>
        <v>0</v>
      </c>
      <c r="H50" s="194">
        <v>0</v>
      </c>
      <c r="I50" s="464">
        <f t="shared" si="5"/>
        <v>0</v>
      </c>
      <c r="J50" s="199" t="s">
        <v>88</v>
      </c>
      <c r="K50" s="465" t="s">
        <v>85</v>
      </c>
      <c r="L50" s="629"/>
      <c r="M50" s="368"/>
      <c r="JD50" s="368"/>
    </row>
    <row r="51" spans="1:265" ht="19.95" customHeight="1">
      <c r="A51" s="368"/>
      <c r="B51" s="467" t="s">
        <v>24</v>
      </c>
      <c r="C51" s="468" t="s">
        <v>216</v>
      </c>
      <c r="D51" s="456" t="s">
        <v>97</v>
      </c>
      <c r="E51" s="457">
        <f t="shared" ref="E51:E53" si="6">SUM(G91)</f>
        <v>6919.92904</v>
      </c>
      <c r="F51" s="458">
        <v>0</v>
      </c>
      <c r="G51" s="458">
        <f>SUM(E51-F51)</f>
        <v>6919.92904</v>
      </c>
      <c r="H51" s="469">
        <v>0</v>
      </c>
      <c r="I51" s="460">
        <f>SUM(G51-H51)</f>
        <v>6919.92904</v>
      </c>
      <c r="J51" s="461" t="s">
        <v>88</v>
      </c>
      <c r="K51" s="470" t="s">
        <v>98</v>
      </c>
      <c r="L51" s="630"/>
      <c r="M51" s="368"/>
      <c r="JD51" s="368"/>
    </row>
    <row r="52" spans="1:265" ht="19.95" customHeight="1">
      <c r="A52" s="368"/>
      <c r="B52" s="471" t="s">
        <v>157</v>
      </c>
      <c r="C52" s="193" t="s">
        <v>153</v>
      </c>
      <c r="D52" s="197" t="s">
        <v>70</v>
      </c>
      <c r="E52" s="222">
        <f t="shared" si="6"/>
        <v>13839.85808</v>
      </c>
      <c r="F52" s="224">
        <v>0</v>
      </c>
      <c r="G52" s="224">
        <f>SUM(E52-F52)</f>
        <v>13839.85808</v>
      </c>
      <c r="H52" s="194">
        <v>0</v>
      </c>
      <c r="I52" s="464">
        <f>SUM(G52-H52)</f>
        <v>13839.85808</v>
      </c>
      <c r="J52" s="199" t="s">
        <v>88</v>
      </c>
      <c r="K52" s="472" t="s">
        <v>81</v>
      </c>
      <c r="L52" s="630"/>
      <c r="M52" s="368"/>
      <c r="JD52" s="368"/>
    </row>
    <row r="53" spans="1:265" ht="19.95" customHeight="1" thickBot="1">
      <c r="A53" s="368"/>
      <c r="B53" s="481" t="s">
        <v>160</v>
      </c>
      <c r="C53" s="482" t="s">
        <v>216</v>
      </c>
      <c r="D53" s="829" t="s">
        <v>97</v>
      </c>
      <c r="E53" s="830">
        <f t="shared" si="6"/>
        <v>13839.85808</v>
      </c>
      <c r="F53" s="831">
        <v>0</v>
      </c>
      <c r="G53" s="831">
        <f>SUM(E53-F53)</f>
        <v>13839.85808</v>
      </c>
      <c r="H53" s="832">
        <v>0</v>
      </c>
      <c r="I53" s="833">
        <f>SUM(G53-H53)</f>
        <v>13839.85808</v>
      </c>
      <c r="J53" s="834" t="s">
        <v>88</v>
      </c>
      <c r="K53" s="835" t="s">
        <v>98</v>
      </c>
      <c r="L53" s="630"/>
      <c r="M53" s="368"/>
      <c r="JD53" s="368"/>
    </row>
    <row r="54" spans="1:265" s="183" customFormat="1" ht="19.95" customHeight="1" thickBot="1">
      <c r="A54" s="369"/>
      <c r="B54" s="819"/>
      <c r="C54" s="820"/>
      <c r="D54" s="821"/>
      <c r="E54" s="822">
        <f>SUM(E41:E53)</f>
        <v>138398.5808</v>
      </c>
      <c r="F54" s="823"/>
      <c r="G54" s="824">
        <f>SUM(G41:G53)</f>
        <v>138398.5808</v>
      </c>
      <c r="H54" s="825"/>
      <c r="I54" s="826">
        <f>SUM(I41:I53)</f>
        <v>138398.5808</v>
      </c>
      <c r="J54" s="827"/>
      <c r="K54" s="828"/>
      <c r="L54" s="631"/>
      <c r="M54" s="369"/>
      <c r="JD54" s="369"/>
    </row>
    <row r="55" spans="1:265" ht="16.2" thickTop="1">
      <c r="A55" s="368"/>
      <c r="B55" s="370"/>
      <c r="C55" s="370"/>
      <c r="D55" s="371"/>
      <c r="E55" s="372"/>
      <c r="F55" s="373"/>
      <c r="G55" s="373"/>
      <c r="H55" s="186"/>
      <c r="I55" s="368"/>
      <c r="J55" s="368"/>
      <c r="K55" s="368"/>
      <c r="L55" s="368"/>
      <c r="M55" s="368"/>
      <c r="N55" s="368"/>
      <c r="JE55" s="368"/>
    </row>
    <row r="56" spans="1:265" ht="15.6">
      <c r="A56" s="368"/>
      <c r="B56" s="370"/>
      <c r="C56" s="370"/>
      <c r="D56" s="371"/>
      <c r="E56" s="372"/>
      <c r="F56" s="373"/>
      <c r="G56" s="373"/>
      <c r="H56" s="373"/>
      <c r="I56" s="373"/>
      <c r="J56" s="368"/>
      <c r="K56" s="368"/>
      <c r="L56" s="368"/>
      <c r="M56" s="368"/>
      <c r="N56" s="368"/>
      <c r="JE56" s="368"/>
    </row>
    <row r="57" spans="1:265" s="175" customFormat="1" ht="14.55" customHeight="1">
      <c r="A57" s="361"/>
      <c r="B57" s="361"/>
      <c r="C57" s="361"/>
      <c r="D57" s="361"/>
      <c r="E57" s="374"/>
      <c r="F57" s="374"/>
      <c r="G57" s="374"/>
      <c r="H57" s="374"/>
      <c r="I57" s="368"/>
      <c r="J57" s="368"/>
      <c r="K57" s="368"/>
      <c r="L57" s="368"/>
      <c r="M57" s="368"/>
      <c r="N57" s="368"/>
      <c r="JE57" s="361"/>
    </row>
    <row r="58" spans="1:265" ht="13.8">
      <c r="A58" s="368"/>
      <c r="B58" s="368"/>
      <c r="C58" s="368"/>
      <c r="D58" s="368"/>
      <c r="E58" s="186"/>
      <c r="F58" s="186"/>
      <c r="G58" s="186"/>
      <c r="H58" s="186"/>
      <c r="I58" s="368"/>
      <c r="J58" s="368"/>
      <c r="K58" s="368"/>
      <c r="L58" s="368"/>
      <c r="M58" s="368"/>
      <c r="N58" s="368"/>
      <c r="JE58" s="368"/>
    </row>
    <row r="59" spans="1:265" ht="13.8">
      <c r="A59" s="368"/>
      <c r="B59" s="368"/>
      <c r="C59" s="368"/>
      <c r="D59" s="368"/>
      <c r="E59" s="186"/>
      <c r="F59" s="186"/>
      <c r="G59" s="186"/>
      <c r="H59" s="186"/>
      <c r="I59" s="368"/>
      <c r="J59" s="368"/>
      <c r="K59" s="368"/>
      <c r="L59" s="368"/>
      <c r="M59" s="368"/>
      <c r="N59" s="368"/>
      <c r="JE59" s="368"/>
    </row>
    <row r="60" spans="1:265" ht="13.8">
      <c r="A60" s="368"/>
      <c r="B60" s="368"/>
      <c r="C60" s="368"/>
      <c r="D60" s="368"/>
      <c r="E60" s="186"/>
      <c r="F60" s="186"/>
      <c r="G60" s="186"/>
      <c r="H60" s="186"/>
      <c r="I60" s="368"/>
      <c r="J60" s="368"/>
      <c r="K60" s="368"/>
      <c r="L60" s="368"/>
      <c r="M60" s="368"/>
      <c r="N60" s="368"/>
      <c r="JE60" s="368"/>
    </row>
    <row r="61" spans="1:265" ht="13.8">
      <c r="A61" s="368"/>
      <c r="B61" s="368"/>
      <c r="C61" s="368"/>
      <c r="D61" s="368"/>
      <c r="E61" s="186"/>
      <c r="F61" s="186"/>
      <c r="G61" s="186"/>
      <c r="H61" s="186"/>
      <c r="I61" s="368"/>
      <c r="J61" s="368"/>
      <c r="K61" s="368"/>
      <c r="L61" s="368"/>
      <c r="M61" s="368"/>
      <c r="N61" s="368"/>
      <c r="JE61" s="368"/>
    </row>
    <row r="62" spans="1:265" ht="13.8">
      <c r="A62" s="368"/>
      <c r="B62" s="368"/>
      <c r="C62" s="368"/>
      <c r="D62" s="368"/>
      <c r="E62" s="186"/>
      <c r="F62" s="186"/>
      <c r="G62" s="186"/>
      <c r="H62" s="186"/>
      <c r="I62" s="368"/>
      <c r="J62" s="368"/>
      <c r="K62" s="368"/>
      <c r="L62" s="368"/>
      <c r="M62" s="368"/>
      <c r="N62" s="368"/>
      <c r="JE62" s="368"/>
    </row>
    <row r="63" spans="1:265" ht="13.8">
      <c r="A63" s="368"/>
      <c r="B63" s="368"/>
      <c r="C63" s="368"/>
      <c r="D63" s="368"/>
      <c r="E63" s="186"/>
      <c r="F63" s="186"/>
      <c r="G63" s="186"/>
      <c r="H63" s="186"/>
      <c r="I63" s="368"/>
      <c r="J63" s="368"/>
      <c r="K63" s="368"/>
      <c r="L63" s="368"/>
      <c r="M63" s="368"/>
      <c r="N63" s="368"/>
      <c r="JE63" s="368"/>
    </row>
    <row r="64" spans="1:265" ht="13.8">
      <c r="A64" s="368"/>
      <c r="B64" s="368"/>
      <c r="C64" s="368"/>
      <c r="D64" s="368"/>
      <c r="E64" s="186"/>
      <c r="F64" s="186"/>
      <c r="G64" s="186"/>
      <c r="H64" s="186"/>
      <c r="I64" s="368"/>
      <c r="J64" s="368"/>
      <c r="K64" s="368"/>
      <c r="L64" s="368"/>
      <c r="M64" s="368"/>
      <c r="N64" s="368"/>
      <c r="JE64" s="368"/>
    </row>
    <row r="65" spans="1:265" ht="13.8">
      <c r="A65" s="368"/>
      <c r="B65" s="368"/>
      <c r="C65" s="368"/>
      <c r="D65" s="368"/>
      <c r="E65" s="186"/>
      <c r="F65" s="186"/>
      <c r="G65" s="186"/>
      <c r="H65" s="186"/>
      <c r="I65" s="368"/>
      <c r="J65" s="368"/>
      <c r="K65" s="368"/>
      <c r="L65" s="368"/>
      <c r="M65" s="368"/>
      <c r="N65" s="368"/>
      <c r="JE65" s="368"/>
    </row>
    <row r="66" spans="1:265" ht="13.8">
      <c r="A66" s="368"/>
      <c r="B66" s="368"/>
      <c r="C66" s="368"/>
      <c r="D66" s="368"/>
      <c r="E66" s="186"/>
      <c r="F66" s="186"/>
      <c r="G66" s="186"/>
      <c r="H66" s="186"/>
      <c r="I66" s="368"/>
      <c r="J66" s="368"/>
      <c r="K66" s="368"/>
      <c r="L66" s="368"/>
      <c r="M66" s="368"/>
      <c r="N66" s="368"/>
      <c r="JE66" s="368"/>
    </row>
    <row r="67" spans="1:265" ht="13.8">
      <c r="A67" s="368"/>
      <c r="B67" s="368"/>
      <c r="C67" s="368"/>
      <c r="D67" s="368"/>
      <c r="E67" s="186"/>
      <c r="F67" s="186"/>
      <c r="G67" s="186"/>
      <c r="H67" s="186"/>
      <c r="I67" s="368"/>
      <c r="J67" s="368"/>
      <c r="K67" s="368"/>
      <c r="L67" s="368"/>
      <c r="M67" s="368"/>
      <c r="N67" s="368"/>
      <c r="JE67" s="368"/>
    </row>
    <row r="68" spans="1:265" ht="13.8">
      <c r="A68" s="368"/>
      <c r="B68" s="368"/>
      <c r="C68" s="368"/>
      <c r="D68" s="368"/>
      <c r="E68" s="186"/>
      <c r="F68" s="186"/>
      <c r="G68" s="186"/>
      <c r="H68" s="186"/>
      <c r="I68" s="368"/>
      <c r="J68" s="368"/>
      <c r="K68" s="368"/>
      <c r="L68" s="368"/>
      <c r="M68" s="368"/>
      <c r="N68" s="368"/>
      <c r="JE68" s="368"/>
    </row>
    <row r="69" spans="1:265" ht="13.8">
      <c r="A69" s="368"/>
      <c r="B69" s="368"/>
      <c r="C69" s="368"/>
      <c r="D69" s="368"/>
      <c r="E69" s="186"/>
      <c r="F69" s="186"/>
      <c r="G69" s="186"/>
      <c r="H69" s="186"/>
      <c r="I69" s="368"/>
      <c r="J69" s="368"/>
      <c r="K69" s="368"/>
      <c r="L69" s="368"/>
      <c r="M69" s="368"/>
      <c r="N69" s="368"/>
      <c r="JE69" s="368"/>
    </row>
    <row r="70" spans="1:265" ht="13.8">
      <c r="A70" s="368"/>
      <c r="B70" s="368"/>
      <c r="C70" s="368"/>
      <c r="D70" s="368"/>
      <c r="E70" s="186"/>
      <c r="F70" s="186"/>
      <c r="G70" s="186"/>
      <c r="H70" s="186"/>
      <c r="I70" s="368"/>
      <c r="J70" s="368"/>
      <c r="K70" s="368"/>
      <c r="L70" s="368"/>
      <c r="M70" s="368"/>
      <c r="N70" s="368"/>
      <c r="JE70" s="368"/>
    </row>
    <row r="71" spans="1:265" ht="13.8">
      <c r="A71" s="368"/>
      <c r="B71" s="368"/>
      <c r="C71" s="368"/>
      <c r="D71" s="368"/>
      <c r="E71" s="186"/>
      <c r="F71" s="186"/>
      <c r="G71" s="186"/>
      <c r="H71" s="186"/>
      <c r="I71" s="368"/>
      <c r="J71" s="368"/>
      <c r="K71" s="368"/>
      <c r="L71" s="368"/>
      <c r="M71" s="368"/>
      <c r="N71" s="368"/>
      <c r="JE71" s="368"/>
    </row>
    <row r="72" spans="1:265" ht="13.8">
      <c r="A72" s="368"/>
      <c r="B72" s="368"/>
      <c r="C72" s="368"/>
      <c r="D72" s="368"/>
      <c r="E72" s="186"/>
      <c r="F72" s="186"/>
      <c r="G72" s="186"/>
      <c r="H72" s="186"/>
      <c r="I72" s="368"/>
      <c r="J72" s="368"/>
      <c r="K72" s="368"/>
      <c r="L72" s="368"/>
      <c r="M72" s="368"/>
      <c r="N72" s="368"/>
      <c r="JE72" s="368"/>
    </row>
    <row r="73" spans="1:265" ht="13.8" hidden="1">
      <c r="A73" s="368"/>
      <c r="B73" s="368"/>
      <c r="C73" s="368"/>
      <c r="D73" s="368"/>
      <c r="E73" s="186"/>
      <c r="F73" s="186"/>
      <c r="G73" s="186"/>
      <c r="H73" s="186"/>
      <c r="I73" s="368"/>
      <c r="J73" s="368"/>
      <c r="K73" s="368"/>
      <c r="L73" s="368"/>
      <c r="M73" s="368"/>
      <c r="N73" s="368"/>
      <c r="JE73" s="368"/>
    </row>
    <row r="74" spans="1:265" ht="13.2" hidden="1" customHeight="1" thickBot="1">
      <c r="A74" s="368"/>
      <c r="B74" s="368"/>
      <c r="C74" s="368"/>
      <c r="D74" s="368"/>
      <c r="E74" s="186"/>
      <c r="F74" s="186"/>
      <c r="G74" s="186"/>
      <c r="H74" s="186"/>
      <c r="I74" s="368"/>
      <c r="J74" s="368"/>
      <c r="K74" s="368"/>
      <c r="L74" s="368"/>
      <c r="M74" s="368"/>
      <c r="N74" s="368"/>
      <c r="JE74" s="368"/>
    </row>
    <row r="75" spans="1:265" ht="19.95" hidden="1" customHeight="1">
      <c r="A75" s="368"/>
      <c r="B75" s="497" t="s">
        <v>80</v>
      </c>
      <c r="C75" s="498"/>
      <c r="D75" s="498"/>
      <c r="E75" s="498"/>
      <c r="F75" s="498"/>
      <c r="G75" s="499"/>
      <c r="H75" s="375"/>
      <c r="I75" s="376" t="s">
        <v>158</v>
      </c>
      <c r="J75" s="368"/>
      <c r="K75" s="368"/>
      <c r="L75" s="368"/>
      <c r="M75" s="368"/>
      <c r="N75" s="368"/>
      <c r="JE75" s="368"/>
    </row>
    <row r="76" spans="1:265" ht="22.2" hidden="1" customHeight="1" thickBot="1">
      <c r="A76" s="368"/>
      <c r="B76" s="500" t="s">
        <v>41</v>
      </c>
      <c r="C76" s="501" t="s">
        <v>13</v>
      </c>
      <c r="D76" s="501" t="s">
        <v>14</v>
      </c>
      <c r="E76" s="502" t="s">
        <v>22</v>
      </c>
      <c r="F76" s="502" t="s">
        <v>15</v>
      </c>
      <c r="G76" s="503" t="s">
        <v>16</v>
      </c>
      <c r="H76" s="375"/>
      <c r="I76" s="375"/>
      <c r="J76" s="368"/>
      <c r="K76" s="368"/>
      <c r="L76" s="368"/>
      <c r="M76" s="368"/>
      <c r="N76" s="368"/>
      <c r="JE76" s="368"/>
    </row>
    <row r="77" spans="1:265" ht="22.2" hidden="1" customHeight="1">
      <c r="A77" s="368"/>
      <c r="B77" s="492" t="s">
        <v>23</v>
      </c>
      <c r="C77" s="493" t="s">
        <v>153</v>
      </c>
      <c r="D77" s="475" t="s">
        <v>70</v>
      </c>
      <c r="E77" s="474">
        <v>0.75</v>
      </c>
      <c r="F77" s="476">
        <v>0</v>
      </c>
      <c r="G77" s="477">
        <f>SUMIF($C4:$C35,"คุณนิมิต จุ้ยอยู่ทอง",$H4:$H35)*E77</f>
        <v>34577.770200000006</v>
      </c>
      <c r="H77" s="377"/>
      <c r="I77" s="375"/>
      <c r="J77" s="368"/>
      <c r="K77" s="368"/>
      <c r="L77" s="368"/>
      <c r="M77" s="368"/>
      <c r="N77" s="368"/>
      <c r="JE77" s="368"/>
    </row>
    <row r="78" spans="1:265" ht="22.2" hidden="1" customHeight="1">
      <c r="A78" s="368"/>
      <c r="B78" s="494"/>
      <c r="C78" s="486" t="s">
        <v>153</v>
      </c>
      <c r="D78" s="378" t="s">
        <v>71</v>
      </c>
      <c r="E78" s="379">
        <v>0.75</v>
      </c>
      <c r="F78" s="479">
        <v>0</v>
      </c>
      <c r="G78" s="480">
        <f>SUMIF($C5:$C36,"คุณธวัช มีแสง",$H5:$H36)*E78</f>
        <v>0</v>
      </c>
      <c r="H78" s="377"/>
      <c r="I78" s="375"/>
      <c r="J78" s="368"/>
      <c r="K78" s="368"/>
      <c r="L78" s="368"/>
      <c r="M78" s="368"/>
      <c r="N78" s="368"/>
      <c r="JE78" s="368"/>
    </row>
    <row r="79" spans="1:265" ht="22.2" hidden="1" customHeight="1">
      <c r="A79" s="368"/>
      <c r="B79" s="494"/>
      <c r="C79" s="486" t="s">
        <v>153</v>
      </c>
      <c r="D79" s="378" t="s">
        <v>73</v>
      </c>
      <c r="E79" s="379">
        <v>0.75</v>
      </c>
      <c r="F79" s="479">
        <v>0</v>
      </c>
      <c r="G79" s="480">
        <f>SUMIF($C5:$C35,"คุณนิยนต์ อยู่ทะเล",$H5:$H35)*E79</f>
        <v>0</v>
      </c>
      <c r="H79" s="377"/>
      <c r="I79" s="375"/>
      <c r="J79" s="368"/>
      <c r="K79" s="368"/>
      <c r="L79" s="368"/>
      <c r="M79" s="368"/>
      <c r="N79" s="368"/>
      <c r="JE79" s="368"/>
    </row>
    <row r="80" spans="1:265" ht="22.2" hidden="1" customHeight="1">
      <c r="A80" s="368"/>
      <c r="B80" s="494"/>
      <c r="C80" s="486" t="s">
        <v>17</v>
      </c>
      <c r="D80" s="378" t="s">
        <v>74</v>
      </c>
      <c r="E80" s="379">
        <v>0.75</v>
      </c>
      <c r="F80" s="479">
        <v>0</v>
      </c>
      <c r="G80" s="480">
        <f>SUMIF($C5:$C35,"คุณจินตนา อ้อยหวาน",$H5:$H35)*E80</f>
        <v>13499.831999999999</v>
      </c>
      <c r="H80" s="377"/>
      <c r="I80" s="375"/>
      <c r="J80" s="368"/>
      <c r="K80" s="368"/>
      <c r="L80" s="368"/>
      <c r="M80" s="368"/>
      <c r="N80" s="368"/>
      <c r="JE80" s="368"/>
    </row>
    <row r="81" spans="1:265" ht="22.2" hidden="1" customHeight="1">
      <c r="A81" s="368"/>
      <c r="B81" s="494"/>
      <c r="C81" s="486" t="s">
        <v>17</v>
      </c>
      <c r="D81" s="378" t="s">
        <v>75</v>
      </c>
      <c r="E81" s="379">
        <v>0.75</v>
      </c>
      <c r="F81" s="479">
        <v>0</v>
      </c>
      <c r="G81" s="480">
        <f>SUMIF($C5:$C35,"คุณพัชรพรรณ พึ่งพา",$H5:$H35)*E81</f>
        <v>48725.330999999998</v>
      </c>
      <c r="H81" s="377"/>
      <c r="I81" s="375"/>
      <c r="J81" s="368"/>
      <c r="K81" s="368"/>
      <c r="L81" s="368"/>
      <c r="M81" s="368"/>
      <c r="N81" s="368"/>
      <c r="JE81" s="368"/>
    </row>
    <row r="82" spans="1:265" ht="22.2" hidden="1" customHeight="1">
      <c r="A82" s="368"/>
      <c r="B82" s="494"/>
      <c r="C82" s="486" t="s">
        <v>17</v>
      </c>
      <c r="D82" s="378" t="s">
        <v>152</v>
      </c>
      <c r="E82" s="379">
        <v>0.75</v>
      </c>
      <c r="F82" s="479">
        <v>0</v>
      </c>
      <c r="G82" s="480">
        <f>SUMIF($C5:$C37,"คุณนรินทร์ ปิงมูล",$H5:$H40)*E82</f>
        <v>0</v>
      </c>
      <c r="H82" s="377"/>
      <c r="I82" s="375"/>
      <c r="J82" s="368"/>
      <c r="K82" s="368"/>
      <c r="L82" s="368"/>
      <c r="M82" s="368"/>
      <c r="N82" s="368"/>
      <c r="P82" s="344" t="s">
        <v>159</v>
      </c>
      <c r="JE82" s="368"/>
    </row>
    <row r="83" spans="1:265" ht="22.2" hidden="1" customHeight="1">
      <c r="A83" s="368"/>
      <c r="B83" s="494"/>
      <c r="C83" s="486" t="s">
        <v>17</v>
      </c>
      <c r="D83" s="378" t="s">
        <v>130</v>
      </c>
      <c r="E83" s="379">
        <v>0.75</v>
      </c>
      <c r="F83" s="479">
        <v>0</v>
      </c>
      <c r="G83" s="480">
        <f>SUMIF($C5:$C35,"คุณชนัฐฎา สนคะมี",$H5:$H35)*E83</f>
        <v>720</v>
      </c>
      <c r="H83" s="377"/>
      <c r="I83" s="375"/>
      <c r="J83" s="368"/>
      <c r="K83" s="368"/>
      <c r="L83" s="368"/>
      <c r="M83" s="368"/>
      <c r="N83" s="368"/>
      <c r="JE83" s="368"/>
    </row>
    <row r="84" spans="1:265" ht="22.2" hidden="1" customHeight="1">
      <c r="A84" s="368"/>
      <c r="B84" s="494"/>
      <c r="C84" s="486" t="s">
        <v>17</v>
      </c>
      <c r="D84" s="378" t="s">
        <v>151</v>
      </c>
      <c r="E84" s="379">
        <v>0.75</v>
      </c>
      <c r="F84" s="479">
        <v>0</v>
      </c>
      <c r="G84" s="480">
        <f>SUMIF($C6:$C36,"คุณจิรภิญญา เป็นปึก",$H6:$H36)*E84</f>
        <v>6006.0024000000003</v>
      </c>
      <c r="H84" s="377"/>
      <c r="I84" s="375"/>
      <c r="J84" s="368"/>
      <c r="K84" s="368"/>
      <c r="L84" s="368"/>
      <c r="M84" s="368"/>
      <c r="N84" s="368"/>
      <c r="P84" s="343" t="s">
        <v>159</v>
      </c>
      <c r="JE84" s="368"/>
    </row>
    <row r="85" spans="1:265" ht="22.2" hidden="1" customHeight="1">
      <c r="A85" s="368"/>
      <c r="B85" s="494"/>
      <c r="C85" s="486" t="s">
        <v>78</v>
      </c>
      <c r="D85" s="378" t="s">
        <v>72</v>
      </c>
      <c r="E85" s="379">
        <v>0.75</v>
      </c>
      <c r="F85" s="479">
        <v>0</v>
      </c>
      <c r="G85" s="480">
        <f>SUMIF($C5:$C35,"คุณแดง มูลสองแคว",$H5:$H35)*E85</f>
        <v>270</v>
      </c>
      <c r="H85" s="377"/>
      <c r="I85" s="375"/>
      <c r="J85" s="368"/>
      <c r="K85" s="368"/>
      <c r="L85" s="368"/>
      <c r="M85" s="368"/>
      <c r="N85" s="368"/>
      <c r="JE85" s="368"/>
    </row>
    <row r="86" spans="1:265" ht="22.2" hidden="1" customHeight="1">
      <c r="A86" s="368"/>
      <c r="B86" s="494"/>
      <c r="C86" s="486" t="s">
        <v>78</v>
      </c>
      <c r="D86" s="378" t="s">
        <v>67</v>
      </c>
      <c r="E86" s="379">
        <v>0.75</v>
      </c>
      <c r="F86" s="479">
        <v>0</v>
      </c>
      <c r="G86" s="480">
        <f>SUMIF($C6:$C36,"คุณรุ่งอรุณ อินบุญรอด",$H6:$H36)*E86</f>
        <v>0</v>
      </c>
      <c r="H86" s="377"/>
      <c r="I86" s="375"/>
      <c r="J86" s="368"/>
      <c r="K86" s="368"/>
      <c r="L86" s="368"/>
      <c r="M86" s="368"/>
      <c r="N86" s="368"/>
      <c r="JE86" s="368"/>
    </row>
    <row r="87" spans="1:265" ht="22.2" hidden="1" customHeight="1">
      <c r="A87" s="368"/>
      <c r="B87" s="494"/>
      <c r="C87" s="486" t="s">
        <v>78</v>
      </c>
      <c r="D87" s="378" t="s">
        <v>68</v>
      </c>
      <c r="E87" s="379">
        <v>0.75</v>
      </c>
      <c r="F87" s="479">
        <v>0</v>
      </c>
      <c r="G87" s="480">
        <f>SUMIF($C7:$C37,"คุณศศินาถ จุ้ยอยู่ทอง",$H7:$H37)*E87</f>
        <v>0</v>
      </c>
      <c r="H87" s="377"/>
      <c r="I87" s="375"/>
      <c r="J87" s="368"/>
      <c r="K87" s="368"/>
      <c r="L87" s="368"/>
      <c r="M87" s="368"/>
      <c r="N87" s="368"/>
      <c r="JE87" s="368"/>
    </row>
    <row r="88" spans="1:265" ht="22.2" hidden="1" customHeight="1">
      <c r="A88" s="368"/>
      <c r="B88" s="494"/>
      <c r="C88" s="486" t="s">
        <v>78</v>
      </c>
      <c r="D88" s="378" t="s">
        <v>90</v>
      </c>
      <c r="E88" s="379">
        <v>0.75</v>
      </c>
      <c r="F88" s="479">
        <v>0</v>
      </c>
      <c r="G88" s="480">
        <f>SUMIF($C8:$C38,"คุณณรงศ์ศักย์ เหล่ารัตนเวช",$H8:$H38)*E88</f>
        <v>0</v>
      </c>
      <c r="H88" s="377"/>
      <c r="I88" s="375"/>
      <c r="J88" s="368"/>
      <c r="K88" s="368"/>
      <c r="L88" s="368"/>
      <c r="M88" s="368"/>
      <c r="N88" s="368"/>
      <c r="JE88" s="368"/>
    </row>
    <row r="89" spans="1:265" ht="22.2" hidden="1" customHeight="1">
      <c r="A89" s="368"/>
      <c r="B89" s="494"/>
      <c r="C89" s="486" t="s">
        <v>78</v>
      </c>
      <c r="D89" s="378" t="s">
        <v>69</v>
      </c>
      <c r="E89" s="379">
        <v>0.75</v>
      </c>
      <c r="F89" s="479">
        <v>0</v>
      </c>
      <c r="G89" s="480">
        <f>SUMIF($C9:$C39,"คุณธัญลักษณ์ หมื่นหลุบกุง",$H9:$H39)*E89</f>
        <v>0</v>
      </c>
      <c r="H89" s="377"/>
      <c r="I89" s="375"/>
      <c r="J89" s="368"/>
      <c r="K89" s="368"/>
      <c r="L89" s="368"/>
      <c r="M89" s="368"/>
      <c r="N89" s="368"/>
      <c r="JE89" s="368"/>
    </row>
    <row r="90" spans="1:265" ht="22.2" hidden="1" customHeight="1" thickBot="1">
      <c r="A90" s="368"/>
      <c r="B90" s="495"/>
      <c r="C90" s="496" t="s">
        <v>18</v>
      </c>
      <c r="D90" s="483" t="s">
        <v>21</v>
      </c>
      <c r="E90" s="482">
        <v>0.6</v>
      </c>
      <c r="F90" s="484">
        <v>0</v>
      </c>
      <c r="G90" s="485">
        <f>SUMIF($C10:$C40,"คุณจันทราภรณ์ สุภาพวนิช",$H10:$H40)*E90</f>
        <v>0</v>
      </c>
      <c r="H90" s="377"/>
      <c r="I90" s="375"/>
      <c r="J90" s="368"/>
      <c r="K90" s="368"/>
      <c r="L90" s="368"/>
      <c r="M90" s="368"/>
      <c r="N90" s="368"/>
      <c r="JE90" s="368"/>
    </row>
    <row r="91" spans="1:265" ht="22.2" hidden="1" customHeight="1">
      <c r="A91" s="368"/>
      <c r="B91" s="487" t="s">
        <v>24</v>
      </c>
      <c r="C91" s="488" t="s">
        <v>61</v>
      </c>
      <c r="D91" s="489" t="s">
        <v>97</v>
      </c>
      <c r="E91" s="488">
        <v>0.05</v>
      </c>
      <c r="F91" s="490">
        <v>0</v>
      </c>
      <c r="G91" s="491">
        <f>$H$35*E91</f>
        <v>6919.92904</v>
      </c>
      <c r="H91" s="375"/>
      <c r="I91" s="375"/>
      <c r="J91" s="368"/>
      <c r="K91" s="368"/>
      <c r="L91" s="368"/>
      <c r="M91" s="368"/>
      <c r="N91" s="368"/>
      <c r="JE91" s="368"/>
    </row>
    <row r="92" spans="1:265" ht="22.2" hidden="1" customHeight="1">
      <c r="A92" s="368"/>
      <c r="B92" s="478" t="s">
        <v>157</v>
      </c>
      <c r="C92" s="379" t="s">
        <v>153</v>
      </c>
      <c r="D92" s="378" t="s">
        <v>70</v>
      </c>
      <c r="E92" s="379">
        <v>0.1</v>
      </c>
      <c r="F92" s="479">
        <v>0</v>
      </c>
      <c r="G92" s="480">
        <f>$H$35*E92</f>
        <v>13839.85808</v>
      </c>
      <c r="H92" s="375"/>
      <c r="I92" s="375"/>
      <c r="J92" s="368"/>
      <c r="K92" s="368"/>
      <c r="L92" s="368"/>
      <c r="M92" s="368"/>
      <c r="N92" s="368"/>
      <c r="JE92" s="368"/>
    </row>
    <row r="93" spans="1:265" ht="22.2" hidden="1" customHeight="1" thickBot="1">
      <c r="A93" s="368"/>
      <c r="B93" s="481" t="s">
        <v>160</v>
      </c>
      <c r="C93" s="482" t="s">
        <v>216</v>
      </c>
      <c r="D93" s="483" t="s">
        <v>97</v>
      </c>
      <c r="E93" s="482">
        <v>0.1</v>
      </c>
      <c r="F93" s="484">
        <v>0</v>
      </c>
      <c r="G93" s="485">
        <f>$H$35*E93</f>
        <v>13839.85808</v>
      </c>
      <c r="H93" s="375"/>
      <c r="I93" s="375"/>
      <c r="J93" s="368"/>
      <c r="K93" s="368"/>
      <c r="L93" s="368"/>
      <c r="M93" s="368"/>
      <c r="N93" s="368"/>
      <c r="JE93" s="368"/>
    </row>
    <row r="94" spans="1:265" ht="18.600000000000001" hidden="1" customHeight="1" thickBot="1">
      <c r="A94" s="368"/>
      <c r="B94" s="370"/>
      <c r="C94" s="370"/>
      <c r="D94" s="371"/>
      <c r="E94" s="372"/>
      <c r="F94" s="373"/>
      <c r="G94" s="473">
        <f>SUM(G77:G93)</f>
        <v>138398.5808</v>
      </c>
      <c r="H94" s="375"/>
      <c r="I94" s="368"/>
      <c r="J94" s="368"/>
      <c r="K94" s="368"/>
      <c r="L94" s="368"/>
      <c r="M94" s="368"/>
      <c r="N94" s="368"/>
      <c r="JE94" s="368"/>
    </row>
    <row r="95" spans="1:265" ht="13.8" hidden="1">
      <c r="A95" s="368"/>
      <c r="B95" s="368"/>
      <c r="C95" s="368"/>
      <c r="D95" s="368"/>
      <c r="E95" s="186"/>
      <c r="F95" s="186"/>
      <c r="G95" s="186"/>
      <c r="H95" s="375"/>
      <c r="I95" s="186"/>
      <c r="J95" s="368"/>
      <c r="K95" s="368"/>
      <c r="L95" s="368"/>
      <c r="M95" s="368"/>
      <c r="N95" s="368"/>
      <c r="JE95" s="368"/>
    </row>
    <row r="96" spans="1:265" ht="13.8">
      <c r="A96" s="368"/>
      <c r="B96" s="368"/>
      <c r="C96" s="368"/>
      <c r="D96" s="368"/>
      <c r="E96" s="186"/>
      <c r="F96" s="186"/>
      <c r="G96" s="186"/>
      <c r="H96" s="375"/>
      <c r="I96" s="186"/>
      <c r="J96" s="368"/>
      <c r="K96" s="368"/>
      <c r="L96" s="368"/>
      <c r="M96" s="368"/>
      <c r="N96" s="368"/>
      <c r="JE96" s="368"/>
    </row>
    <row r="97" spans="1:265" ht="13.8">
      <c r="A97" s="368"/>
      <c r="B97" s="368"/>
      <c r="C97" s="368"/>
      <c r="D97" s="368"/>
      <c r="E97" s="186"/>
      <c r="F97" s="186"/>
      <c r="G97" s="186"/>
      <c r="H97" s="375"/>
      <c r="I97" s="186"/>
      <c r="J97" s="368"/>
      <c r="K97" s="368"/>
      <c r="L97" s="368"/>
      <c r="M97" s="368"/>
      <c r="N97" s="368"/>
      <c r="JE97" s="368"/>
    </row>
    <row r="98" spans="1:265" ht="13.8">
      <c r="E98" s="188"/>
      <c r="F98" s="188"/>
      <c r="G98" s="188"/>
      <c r="H98" s="87"/>
      <c r="I98" s="188"/>
      <c r="JE98" s="368"/>
    </row>
    <row r="99" spans="1:265" ht="13.8">
      <c r="E99" s="188"/>
      <c r="F99" s="188"/>
      <c r="G99" s="188"/>
      <c r="H99" s="188"/>
      <c r="I99" s="188"/>
      <c r="JE99" s="368"/>
    </row>
    <row r="100" spans="1:265" ht="13.8">
      <c r="E100" s="188"/>
      <c r="F100" s="188"/>
      <c r="G100" s="188"/>
      <c r="H100" s="188"/>
      <c r="I100" s="188"/>
      <c r="JE100" s="368"/>
    </row>
    <row r="101" spans="1:265" ht="13.8">
      <c r="E101" s="188"/>
      <c r="F101" s="188"/>
      <c r="G101" s="188"/>
      <c r="H101" s="188"/>
      <c r="I101" s="188"/>
      <c r="JE101" s="368"/>
    </row>
    <row r="102" spans="1:265" ht="13.8">
      <c r="E102" s="188"/>
      <c r="F102" s="188"/>
      <c r="G102" s="188"/>
      <c r="H102" s="188"/>
      <c r="I102" s="188"/>
      <c r="JE102" s="368"/>
    </row>
    <row r="103" spans="1:265" ht="13.8">
      <c r="E103" s="188"/>
      <c r="F103" s="188"/>
      <c r="G103" s="188"/>
      <c r="H103" s="188"/>
      <c r="I103" s="188"/>
      <c r="JE103" s="368"/>
    </row>
    <row r="104" spans="1:265" ht="13.8">
      <c r="E104" s="188"/>
      <c r="F104" s="188"/>
      <c r="G104" s="188"/>
      <c r="H104" s="188"/>
      <c r="I104" s="188"/>
      <c r="JE104" s="368"/>
    </row>
    <row r="105" spans="1:265" ht="13.8">
      <c r="E105" s="188"/>
      <c r="F105" s="188"/>
      <c r="G105" s="188"/>
      <c r="H105" s="188"/>
      <c r="I105" s="188"/>
      <c r="JE105" s="368"/>
    </row>
    <row r="106" spans="1:265" ht="13.8">
      <c r="E106" s="188"/>
      <c r="F106" s="188"/>
      <c r="G106" s="188"/>
      <c r="H106" s="188"/>
      <c r="I106" s="188"/>
      <c r="JE106" s="368"/>
    </row>
    <row r="107" spans="1:265" ht="13.8">
      <c r="E107" s="188"/>
      <c r="F107" s="188"/>
      <c r="G107" s="188"/>
      <c r="H107" s="188"/>
      <c r="I107" s="188"/>
      <c r="JE107" s="368"/>
    </row>
    <row r="108" spans="1:265" ht="13.95" customHeight="1">
      <c r="E108" s="188"/>
      <c r="F108" s="188"/>
      <c r="G108" s="188"/>
      <c r="H108" s="188"/>
      <c r="I108" s="188"/>
      <c r="JE108" s="368"/>
    </row>
    <row r="109" spans="1:265" ht="13.95" customHeight="1">
      <c r="E109" s="188"/>
      <c r="F109" s="188"/>
      <c r="G109" s="188"/>
      <c r="H109" s="188"/>
      <c r="I109" s="188"/>
      <c r="JE109" s="368"/>
    </row>
    <row r="110" spans="1:265" ht="13.95" customHeight="1">
      <c r="E110" s="188"/>
      <c r="F110" s="188"/>
      <c r="G110" s="188"/>
      <c r="H110" s="188"/>
      <c r="I110" s="188"/>
    </row>
    <row r="111" spans="1:265" ht="13.8">
      <c r="E111" s="188"/>
      <c r="F111" s="188"/>
      <c r="G111" s="188"/>
      <c r="H111" s="188"/>
      <c r="I111" s="188"/>
    </row>
    <row r="112" spans="1:265" ht="13.8">
      <c r="E112" s="188"/>
      <c r="F112" s="188"/>
      <c r="G112" s="188"/>
      <c r="H112" s="188"/>
      <c r="I112" s="188"/>
    </row>
    <row r="113" spans="5:9" ht="13.8">
      <c r="E113" s="188"/>
      <c r="F113" s="188"/>
      <c r="G113" s="188"/>
      <c r="H113" s="188"/>
      <c r="I113" s="188"/>
    </row>
    <row r="114" spans="5:9" ht="13.8">
      <c r="E114" s="188"/>
      <c r="F114" s="188"/>
      <c r="G114" s="188"/>
      <c r="H114" s="188"/>
      <c r="I114" s="188"/>
    </row>
    <row r="115" spans="5:9" ht="13.8">
      <c r="E115" s="188"/>
      <c r="F115" s="188"/>
      <c r="G115" s="188"/>
      <c r="H115" s="188"/>
      <c r="I115" s="188"/>
    </row>
    <row r="116" spans="5:9" ht="13.8">
      <c r="E116" s="188"/>
      <c r="F116" s="188"/>
      <c r="G116" s="188"/>
      <c r="H116" s="188"/>
      <c r="I116" s="188"/>
    </row>
    <row r="117" spans="5:9" ht="13.8">
      <c r="E117" s="188"/>
      <c r="F117" s="188"/>
      <c r="G117" s="188"/>
      <c r="H117" s="188"/>
      <c r="I117" s="188"/>
    </row>
    <row r="118" spans="5:9" ht="13.8">
      <c r="E118" s="188"/>
      <c r="F118" s="188"/>
      <c r="G118" s="188"/>
      <c r="H118" s="188"/>
      <c r="I118" s="188"/>
    </row>
    <row r="119" spans="5:9" ht="13.8">
      <c r="E119" s="188"/>
      <c r="F119" s="188"/>
      <c r="G119" s="188"/>
      <c r="H119" s="188"/>
      <c r="I119" s="188"/>
    </row>
    <row r="120" spans="5:9" ht="13.8">
      <c r="E120" s="188"/>
      <c r="F120" s="188"/>
      <c r="G120" s="188"/>
      <c r="H120" s="188"/>
      <c r="I120" s="188"/>
    </row>
    <row r="121" spans="5:9" ht="13.8">
      <c r="E121" s="188"/>
      <c r="F121" s="188"/>
      <c r="G121" s="188"/>
      <c r="H121" s="188"/>
      <c r="I121" s="188"/>
    </row>
    <row r="122" spans="5:9" ht="13.8">
      <c r="E122" s="188"/>
      <c r="F122" s="188"/>
      <c r="G122" s="188"/>
      <c r="H122" s="188"/>
      <c r="I122" s="188"/>
    </row>
    <row r="123" spans="5:9" ht="13.8">
      <c r="E123" s="188"/>
      <c r="F123" s="188"/>
      <c r="G123" s="188"/>
      <c r="H123" s="188"/>
      <c r="I123" s="188"/>
    </row>
    <row r="124" spans="5:9" ht="13.8">
      <c r="E124" s="188"/>
      <c r="F124" s="188"/>
      <c r="G124" s="188"/>
      <c r="H124" s="188"/>
      <c r="I124" s="188"/>
    </row>
    <row r="125" spans="5:9" ht="13.8">
      <c r="E125" s="188"/>
      <c r="F125" s="188"/>
      <c r="G125" s="188"/>
      <c r="H125" s="188"/>
      <c r="I125" s="188"/>
    </row>
    <row r="126" spans="5:9" ht="13.8">
      <c r="E126" s="188"/>
      <c r="F126" s="188"/>
      <c r="G126" s="188"/>
      <c r="H126" s="188"/>
      <c r="I126" s="188"/>
    </row>
    <row r="127" spans="5:9" ht="13.8">
      <c r="E127" s="188"/>
      <c r="F127" s="188"/>
      <c r="G127" s="188"/>
      <c r="H127" s="188"/>
      <c r="I127" s="188"/>
    </row>
    <row r="128" spans="5:9"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c r="E147" s="188"/>
      <c r="F147" s="188"/>
      <c r="G147" s="188"/>
      <c r="H147" s="188"/>
      <c r="I147" s="188"/>
    </row>
    <row r="148" spans="5:9" ht="13.8">
      <c r="E148" s="188"/>
      <c r="F148" s="188"/>
      <c r="G148" s="188"/>
      <c r="H148" s="188"/>
      <c r="I148" s="188"/>
    </row>
    <row r="149" spans="5:9" ht="13.8">
      <c r="E149" s="188"/>
      <c r="F149" s="188"/>
      <c r="G149" s="188"/>
      <c r="H149" s="188"/>
      <c r="I149" s="188"/>
    </row>
    <row r="150" spans="5:9" ht="13.8">
      <c r="E150" s="188"/>
      <c r="F150" s="188"/>
      <c r="G150" s="188"/>
      <c r="H150" s="188"/>
      <c r="I150" s="188"/>
    </row>
    <row r="151" spans="5:9" ht="13.8"/>
    <row r="152" spans="5:9" ht="13.8"/>
    <row r="153" spans="5:9" ht="13.8"/>
    <row r="154" spans="5:9" ht="13.8"/>
    <row r="155" spans="5:9" ht="13.8"/>
    <row r="156" spans="5:9" ht="13.8"/>
    <row r="157" spans="5:9" ht="13.8"/>
    <row r="158" spans="5:9" ht="13.8"/>
    <row r="159" spans="5:9" ht="13.8"/>
    <row r="160" spans="5:9" ht="13.8"/>
    <row r="161" ht="13.8"/>
    <row r="162" ht="13.8"/>
    <row r="163" ht="13.8"/>
    <row r="164" ht="13.8"/>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sheetData>
  <mergeCells count="1">
    <mergeCell ref="K4:L4"/>
  </mergeCells>
  <phoneticPr fontId="20" type="noConversion"/>
  <printOptions horizontalCentered="1"/>
  <pageMargins left="0.27559055118110237" right="0.19685039370078741" top="0.43307086614173229" bottom="0.35433070866141736" header="0.23622047244094491" footer="0"/>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1" t="s">
        <v>1</v>
      </c>
      <c r="D5" s="161" t="s">
        <v>6</v>
      </c>
      <c r="E5" s="292" t="s">
        <v>44</v>
      </c>
      <c r="F5" s="250" t="s">
        <v>31</v>
      </c>
      <c r="G5" s="251" t="s">
        <v>36</v>
      </c>
      <c r="H5" s="220" t="s">
        <v>95</v>
      </c>
      <c r="I5" s="252" t="s">
        <v>37</v>
      </c>
      <c r="J5" s="162" t="s">
        <v>40</v>
      </c>
      <c r="K5" s="162" t="s">
        <v>102</v>
      </c>
      <c r="L5" s="163" t="s">
        <v>103</v>
      </c>
      <c r="M5" s="163" t="s">
        <v>104</v>
      </c>
      <c r="N5" s="162" t="s">
        <v>105</v>
      </c>
      <c r="O5" s="218" t="s">
        <v>99</v>
      </c>
      <c r="P5" s="218" t="s">
        <v>100</v>
      </c>
      <c r="Q5" s="218" t="s">
        <v>101</v>
      </c>
      <c r="R5" s="164"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7"/>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8"/>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70"/>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7"/>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9"/>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70"/>
      <c r="T26" s="166"/>
      <c r="U26" s="30"/>
      <c r="V26" s="171"/>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7"/>
      <c r="T27" s="165"/>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8"/>
      <c r="T28" s="169"/>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1"/>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799" t="s">
        <v>63</v>
      </c>
      <c r="B1" s="799"/>
      <c r="C1" s="799"/>
      <c r="D1" s="799"/>
      <c r="E1" s="799"/>
      <c r="F1" s="799"/>
      <c r="G1" s="799"/>
      <c r="H1" s="799"/>
    </row>
    <row r="2" spans="1:1294" s="158" customFormat="1" ht="21.6" customHeight="1">
      <c r="A2" s="800" t="s">
        <v>115</v>
      </c>
      <c r="B2" s="800"/>
      <c r="C2" s="800"/>
      <c r="D2" s="800"/>
      <c r="E2" s="800"/>
      <c r="F2" s="800"/>
      <c r="G2" s="800"/>
      <c r="H2" s="800"/>
    </row>
    <row r="3" spans="1:1294" s="158" customFormat="1" ht="20.399999999999999" customHeight="1">
      <c r="A3" s="158" t="s">
        <v>8</v>
      </c>
      <c r="E3" s="160"/>
      <c r="F3" s="160"/>
      <c r="G3" s="192">
        <v>0</v>
      </c>
      <c r="H3" s="160"/>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801" t="s">
        <v>19</v>
      </c>
      <c r="C5" s="72" t="s">
        <v>70</v>
      </c>
      <c r="D5" s="810"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802"/>
      <c r="C6" s="72" t="s">
        <v>71</v>
      </c>
      <c r="D6" s="811"/>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802"/>
      <c r="C7" s="72" t="s">
        <v>72</v>
      </c>
      <c r="D7" s="811"/>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802"/>
      <c r="C8" s="135" t="s">
        <v>73</v>
      </c>
      <c r="D8" s="811"/>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802"/>
      <c r="C9" s="141" t="s">
        <v>67</v>
      </c>
      <c r="D9" s="811"/>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802"/>
      <c r="C10" s="141" t="s">
        <v>68</v>
      </c>
      <c r="D10" s="811"/>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802"/>
      <c r="C11" s="190" t="s">
        <v>90</v>
      </c>
      <c r="D11" s="811"/>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802"/>
      <c r="C12" s="190" t="s">
        <v>130</v>
      </c>
      <c r="D12" s="811"/>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803"/>
      <c r="C13" s="72" t="s">
        <v>69</v>
      </c>
      <c r="D13" s="812"/>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804" t="s">
        <v>11</v>
      </c>
      <c r="C14" s="72" t="s">
        <v>70</v>
      </c>
      <c r="D14" s="813"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805"/>
      <c r="C15" s="72" t="s">
        <v>71</v>
      </c>
      <c r="D15" s="814"/>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805"/>
      <c r="C16" s="72" t="s">
        <v>72</v>
      </c>
      <c r="D16" s="814"/>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805"/>
      <c r="C17" s="136" t="s">
        <v>73</v>
      </c>
      <c r="D17" s="814"/>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805"/>
      <c r="C18" s="142" t="s">
        <v>67</v>
      </c>
      <c r="D18" s="814"/>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805"/>
      <c r="C19" s="191" t="s">
        <v>68</v>
      </c>
      <c r="D19" s="814"/>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805"/>
      <c r="C20" s="191" t="s">
        <v>90</v>
      </c>
      <c r="D20" s="814"/>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805"/>
      <c r="C21" s="190" t="s">
        <v>130</v>
      </c>
      <c r="D21" s="814"/>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805"/>
      <c r="C22" s="73" t="s">
        <v>69</v>
      </c>
      <c r="D22" s="815"/>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806" t="s">
        <v>20</v>
      </c>
      <c r="C23" s="72" t="s">
        <v>70</v>
      </c>
      <c r="D23" s="810"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806"/>
      <c r="C24" s="74" t="s">
        <v>71</v>
      </c>
      <c r="D24" s="816"/>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806"/>
      <c r="C25" s="74" t="s">
        <v>72</v>
      </c>
      <c r="D25" s="816"/>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807"/>
      <c r="C26" s="136" t="s">
        <v>73</v>
      </c>
      <c r="D26" s="816"/>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808"/>
      <c r="C27" s="142" t="s">
        <v>67</v>
      </c>
      <c r="D27" s="816"/>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809"/>
      <c r="C28" s="191" t="s">
        <v>68</v>
      </c>
      <c r="D28" s="816"/>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809"/>
      <c r="C29" s="191" t="s">
        <v>90</v>
      </c>
      <c r="D29" s="816"/>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809"/>
      <c r="C30" s="190" t="s">
        <v>130</v>
      </c>
      <c r="D30" s="816"/>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806"/>
      <c r="C31" s="119" t="s">
        <v>69</v>
      </c>
      <c r="D31" s="817"/>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798" t="s">
        <v>93</v>
      </c>
      <c r="C35" s="798"/>
      <c r="D35" s="798"/>
      <c r="E35" s="798"/>
      <c r="F35" s="798"/>
      <c r="G35" s="798"/>
      <c r="H35" s="798"/>
      <c r="I35" s="798"/>
      <c r="J35" s="798"/>
      <c r="K35" s="798"/>
      <c r="L35" s="798"/>
      <c r="M35" s="798"/>
    </row>
    <row r="36" spans="2:13" s="45" customFormat="1" ht="14.55" customHeight="1">
      <c r="B36" s="798"/>
      <c r="C36" s="798"/>
      <c r="D36" s="798"/>
      <c r="E36" s="798"/>
      <c r="F36" s="798"/>
      <c r="G36" s="798"/>
      <c r="H36" s="798"/>
      <c r="I36" s="798"/>
      <c r="J36" s="798"/>
      <c r="K36" s="798"/>
      <c r="L36" s="798"/>
      <c r="M36" s="798"/>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3"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3"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3"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3"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3"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3"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3"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2"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4"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2"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2"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2"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5"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ตั้งเบิกคอมฯ  CN</vt:lpstr>
      <vt:lpstr>สรุปยอดเบิก CN</vt:lpstr>
      <vt:lpstr>คอมฯ CBN</vt:lpstr>
      <vt:lpstr>สรุปยอดเบิก CBN</vt:lpstr>
      <vt:lpstr>'คอมฯ CBN'!Print_Area</vt:lpstr>
      <vt:lpstr>'ตั้งเบิกคอมฯ  CN'!Print_Area</vt:lpstr>
      <vt:lpstr>'สรุปยอดเบิก CBN'!Print_Area</vt:lpstr>
      <vt:lpstr>'สรุปยอดเบิก CN'!Print_Area</vt:lpstr>
      <vt:lpstr>'คอมฯ CBN'!Print_Titles</vt:lpstr>
      <vt:lpstr>'ตั้งเบิกคอมฯ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2025-03-10T02:18:56Z</cp:lastPrinted>
  <dcterms:created xsi:type="dcterms:W3CDTF">2022-04-03T17:11:16Z</dcterms:created>
  <dcterms:modified xsi:type="dcterms:W3CDTF">2025-03-10T02:20:26Z</dcterms:modified>
</cp:coreProperties>
</file>